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gunler" sheetId="1" r:id="rId1"/>
    <sheet name="kulupler" sheetId="2" r:id="rId2"/>
    <sheet name="tarihler" sheetId="3" r:id="rId3"/>
    <sheet name="takvim" sheetId="4" r:id="rId4"/>
  </sheets>
  <definedNames>
    <definedName name="_xlnm.Print_Area" localSheetId="0">'gunler'!$C$4:$M$47</definedName>
    <definedName name="_xlnm.Print_Area" localSheetId="1">'kulupler'!$C$4:$M$40</definedName>
    <definedName name="_xlnm.Print_Area" localSheetId="3">'takvim'!$B$2:$X$38</definedName>
    <definedName name="_xlnm.Print_Area" localSheetId="2">'tarihler'!$C$4:$M$47</definedName>
  </definedNames>
  <calcPr fullCalcOnLoad="1"/>
</workbook>
</file>

<file path=xl/sharedStrings.xml><?xml version="1.0" encoding="utf-8"?>
<sst xmlns="http://schemas.openxmlformats.org/spreadsheetml/2006/main" count="208" uniqueCount="122">
  <si>
    <t>EYLÜL 2005-2576</t>
  </si>
  <si>
    <t>BELİRLİ GÜN VE HAFTALAR ÇİZELGESİ</t>
  </si>
  <si>
    <t>İlköğretim Haftası (Eylül ayının 3. haftası)</t>
  </si>
  <si>
    <t>İnsan Hakları ve Demokrasi Haftası (10 Aralık gününü içine alan hafta)</t>
  </si>
  <si>
    <t>Yeşilay Haftası (Mart ayının ilk haftası)</t>
  </si>
  <si>
    <t>Girişimcilik Haftası (Mart ayının ilk haftası)</t>
  </si>
  <si>
    <t>Türk Dünyası ve Toplulukları Haftası (21 Mart Nevruz gününü içine alan hafta)</t>
  </si>
  <si>
    <t>Kütüphaneler Haftası (Mart ayının son pazartesi günü)</t>
  </si>
  <si>
    <t>Dünya Kitap Günü (23 Nisan gününü içine alan hafta)</t>
  </si>
  <si>
    <t>Bilişim Haftası (Mayıs ayının ilk haftası)</t>
  </si>
  <si>
    <t>Trafik ve İlk Yardım Haftası (Mayıs ayının ilk haftası)</t>
  </si>
  <si>
    <t>Bu çizelgede yer almayan diğer ulusal/uluslar arası gün ve haftaların</t>
  </si>
  <si>
    <t>kutlanmasına/anılmasına kurumların tür, seviye, imkân ve şartlarına; çevrenin ekonomik,</t>
  </si>
  <si>
    <t>sosyal, kültürel ve coğrafî özelliklerine göre okul yönetimlerince karar verilir.</t>
  </si>
  <si>
    <t>ÖĞRETİM YILI:</t>
  </si>
  <si>
    <t>/</t>
  </si>
  <si>
    <t>Pazartesi</t>
  </si>
  <si>
    <t>Salı</t>
  </si>
  <si>
    <t>Çarşamba</t>
  </si>
  <si>
    <t>Perşembe</t>
  </si>
  <si>
    <t>Cuma</t>
  </si>
  <si>
    <t>Cumartesi</t>
  </si>
  <si>
    <t>Pazar</t>
  </si>
  <si>
    <t>İstiklâl Marşı’nın Kabulü ve Mehmet Akif Ersoy’u Anma Günü</t>
  </si>
  <si>
    <t>Tüketiciyi Koruma Haftası</t>
  </si>
  <si>
    <t>Mahallî Kurtuluş Günleri ve Atatürk Günleri ile Tarihî Günler</t>
  </si>
  <si>
    <t>Gerçekleştiği tarihlerde</t>
  </si>
  <si>
    <t>Gaziler Günü</t>
  </si>
  <si>
    <t>Hayvanları Koruma Günü</t>
  </si>
  <si>
    <t>Ahilik Kültürü Haftası</t>
  </si>
  <si>
    <t>Birleşmiş Milletler Günü</t>
  </si>
  <si>
    <t>Kızılay Haftası</t>
  </si>
  <si>
    <t>Lösemili Çocuklar Haftası</t>
  </si>
  <si>
    <t>Atatürk Haftası</t>
  </si>
  <si>
    <t>Afet Eğitimi Hazırlık Günü</t>
  </si>
  <si>
    <t>Dünya Felsefe Günü</t>
  </si>
  <si>
    <t>Öğretmenler Günü</t>
  </si>
  <si>
    <t>Dünya AIDS Günü</t>
  </si>
  <si>
    <t>Tutum, Yatırım ve Türk Malları Haftası</t>
  </si>
  <si>
    <t>Enerji Tasarrufu Haftası</t>
  </si>
  <si>
    <t>Sivil Savunma Günü</t>
  </si>
  <si>
    <t>Bilim ve Teknoloji Haftası</t>
  </si>
  <si>
    <t>Şehitler Günü</t>
  </si>
  <si>
    <t>Orman Haftası</t>
  </si>
  <si>
    <t>Dünya Tiyatrolar Günü</t>
  </si>
  <si>
    <t>Turizm Haftası</t>
  </si>
  <si>
    <t>Vakıflar Haftası</t>
  </si>
  <si>
    <t>Engelliler Haftası</t>
  </si>
  <si>
    <t>Müzeler Haftası</t>
  </si>
  <si>
    <t>Etik Günü</t>
  </si>
  <si>
    <t>Çevre Koruma Haftası</t>
  </si>
  <si>
    <t>ÖĞRETİM YILI</t>
  </si>
  <si>
    <t>Millî Eğitim Bakanlığı Tebliğler Dergisi</t>
  </si>
  <si>
    <t>Gaziler Günü (19 Eylül)</t>
  </si>
  <si>
    <t>Hayvanları Koruma Günü (4 Ekim)</t>
  </si>
  <si>
    <t>Ahilik Kültürü Haftası (8-12 Ekim)</t>
  </si>
  <si>
    <t>Mahallî Kurtuluş Günleri ve Atatürk Günleri ile Tarihî Günler (Gerçekleştiği tarihlerde)</t>
  </si>
  <si>
    <t>Birleşmiş Milletler Günü (24 Ekim)</t>
  </si>
  <si>
    <t>Kızılay Haftası (29 Ekim-4 Kasım)</t>
  </si>
  <si>
    <t>Lösemili Çocuklar Haftası (2-8 Kasım)</t>
  </si>
  <si>
    <t>Atatürk Haftası (10-16 Kasım)</t>
  </si>
  <si>
    <t>Afet Eğitimi Hazırlık Günü (12 Kasım)</t>
  </si>
  <si>
    <t>Dünya Felsefe Günü (20 Kasım)</t>
  </si>
  <si>
    <t>Öğretmenler Günü (24 Kasım)</t>
  </si>
  <si>
    <t>Dünya AIDS Günü (1 Aralık)</t>
  </si>
  <si>
    <t>Tutum, Yatırım ve Türk Malları Haftası (12-18 Aralık)</t>
  </si>
  <si>
    <t>Enerji Tasarrufu Haftası (Ocak ayının 2. haftası)</t>
  </si>
  <si>
    <t>Sivil Savunma Günü (28 Şubat)</t>
  </si>
  <si>
    <t>Bilim ve Teknoloji Haftası (8-14 Mart)</t>
  </si>
  <si>
    <t>İstiklâl Marşı’nın Kabulü ve Mehmet Akif Ersoy’u Anma Günü (12 Mart)</t>
  </si>
  <si>
    <t>Tüketiciyi Koruma Haftası (15-21 Mart)</t>
  </si>
  <si>
    <t>Şehitler Günü (18 Mart)</t>
  </si>
  <si>
    <t>Orman Haftası (21-26 Mart)</t>
  </si>
  <si>
    <t>Dünya Tiyatrolar Günü (27 Mart)</t>
  </si>
  <si>
    <t>Turizm Haftası (15-22 Nisan)</t>
  </si>
  <si>
    <t>Vakıflar Haftası (Mayıs ayının 2. haftası)</t>
  </si>
  <si>
    <t>Engelliler Haftası (10-16 Mayıs)</t>
  </si>
  <si>
    <t>Müzeler Haftası (18-24 Mayıs)</t>
  </si>
  <si>
    <t>Etik Günü (25 Mayıs günü)</t>
  </si>
  <si>
    <t>Çevre Koruma Haftası (Haziran ayının 2. haftası)</t>
  </si>
  <si>
    <t>İnsan Hakları ve Demokrasi Haftası</t>
  </si>
  <si>
    <t>Türk Dünyası ve Toplulukları Haftası</t>
  </si>
  <si>
    <t>Dünya Kitap Günü</t>
  </si>
  <si>
    <t>Yeşilay Haftası</t>
  </si>
  <si>
    <t>Girişimcilik Haftası</t>
  </si>
  <si>
    <t>İlköğretim Haftası</t>
  </si>
  <si>
    <t>Kütüphaneler Haftası</t>
  </si>
  <si>
    <t>Bilişim Haftası</t>
  </si>
  <si>
    <t>Trafik ve İlk Yardım Haftası</t>
  </si>
  <si>
    <t>Kültür ve Edebiyat Kulübü</t>
  </si>
  <si>
    <t>ÖĞRENCİ KULÜPLERİ ÇİZELGESİ</t>
  </si>
  <si>
    <t>Yayın ve İletişim Kulübü</t>
  </si>
  <si>
    <t>Müzik Kulübü</t>
  </si>
  <si>
    <t>Resim Kulübü</t>
  </si>
  <si>
    <t>Halk Oyunları Kulübü</t>
  </si>
  <si>
    <t>Tiyatro Kulübü</t>
  </si>
  <si>
    <t>Kütüphanecilik Kulübü</t>
  </si>
  <si>
    <t>Sivil Savunma Kulübü</t>
  </si>
  <si>
    <t>Gezi, Tanıtma ve Turizm Kulübü</t>
  </si>
  <si>
    <t>Çevre Koruma Kulübü</t>
  </si>
  <si>
    <t>Satranç Kulübü</t>
  </si>
  <si>
    <t>Hayvanları Koruma Kulübü</t>
  </si>
  <si>
    <t>Sosyal Dayanışma ve Yardımlaşma, Çocuk Esirgeme, Kızılay ve Benzeri Kulüpler</t>
  </si>
  <si>
    <t>Sağlık, Temizlik, Beslenme ve Yeşilay Kulübü</t>
  </si>
  <si>
    <t>Havacılık Kulübü</t>
  </si>
  <si>
    <t>Spor Kulübü</t>
  </si>
  <si>
    <t>Bilim-Fen ve Teknoloji Kulübü</t>
  </si>
  <si>
    <t>Fotoğrafçılık Kulübü</t>
  </si>
  <si>
    <t>Trafik Güvenliği ve İlk Yardım Kulübü</t>
  </si>
  <si>
    <t>Kültür ve Tabiat Varlıklarını Koruma ve Okul Müzesi Kulübü</t>
  </si>
  <si>
    <t>İzcilik Kulübü</t>
  </si>
  <si>
    <t>Bilinçli Tüketici Kulübü</t>
  </si>
  <si>
    <t>Kooperatifçilik Kulübü</t>
  </si>
  <si>
    <t>Meslek Tanıtma Kulübü</t>
  </si>
  <si>
    <t>Demokrasi, İnsan Hakları ve Yurttaşlık Kulübü</t>
  </si>
  <si>
    <t>Engellilerle Dayanışma Kulübü</t>
  </si>
  <si>
    <t>Yeşili Koruma Kulübü</t>
  </si>
  <si>
    <t>Çocuk Hakları Kulübü</t>
  </si>
  <si>
    <t>Felsefe Kulübü</t>
  </si>
  <si>
    <t>Denizcilik Kulübü</t>
  </si>
  <si>
    <t>Okullarda bu çizelgede yer alan kulüpler dışında da kulüpler oluşturulabilir. Konuları</t>
  </si>
  <si>
    <t>birbirine yakın olanlar birleştirilerek yeni öğrenci kulüpleri oluşturulabilir.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</si>
</sst>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;;"/>
  </numFmts>
  <fonts count="11">
    <font>
      <sz val="10"/>
      <name val="Arial"/>
      <family val="0"/>
    </font>
    <font>
      <b/>
      <sz val="12"/>
      <name val="Arial"/>
      <family val="0"/>
    </font>
    <font>
      <b/>
      <sz val="12"/>
      <color indexed="48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2"/>
      <name val="Arial"/>
      <family val="0"/>
    </font>
    <font>
      <b/>
      <sz val="14"/>
      <name val="Arial"/>
      <family val="0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2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9" fillId="2" borderId="1" xfId="0" applyFont="1" applyFill="1" applyBorder="1" applyAlignment="1" applyProtection="1">
      <alignment horizontal="right" vertical="center"/>
      <protection hidden="1"/>
    </xf>
    <xf numFmtId="0" fontId="9" fillId="2" borderId="1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183" fontId="4" fillId="3" borderId="0" xfId="0" applyNumberFormat="1" applyFont="1" applyFill="1" applyBorder="1" applyAlignment="1" applyProtection="1">
      <alignment/>
      <protection hidden="1"/>
    </xf>
    <xf numFmtId="0" fontId="3" fillId="3" borderId="2" xfId="0" applyFont="1" applyFill="1" applyBorder="1" applyAlignment="1" applyProtection="1">
      <alignment/>
      <protection hidden="1"/>
    </xf>
    <xf numFmtId="0" fontId="3" fillId="3" borderId="3" xfId="0" applyFont="1" applyFill="1" applyBorder="1" applyAlignment="1" applyProtection="1">
      <alignment/>
      <protection hidden="1"/>
    </xf>
    <xf numFmtId="0" fontId="5" fillId="3" borderId="2" xfId="0" applyFont="1" applyFill="1" applyBorder="1" applyAlignment="1" applyProtection="1">
      <alignment/>
      <protection hidden="1"/>
    </xf>
    <xf numFmtId="0" fontId="5" fillId="3" borderId="3" xfId="0" applyFont="1" applyFill="1" applyBorder="1" applyAlignment="1" applyProtection="1">
      <alignment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/>
      <protection hidden="1"/>
    </xf>
    <xf numFmtId="0" fontId="6" fillId="3" borderId="4" xfId="0" applyFont="1" applyFill="1" applyBorder="1" applyAlignment="1" applyProtection="1">
      <alignment/>
      <protection hidden="1"/>
    </xf>
    <xf numFmtId="0" fontId="2" fillId="3" borderId="0" xfId="0" applyFont="1" applyFill="1" applyAlignment="1" applyProtection="1">
      <alignment horizontal="right"/>
      <protection locked="0"/>
    </xf>
    <xf numFmtId="0" fontId="6" fillId="3" borderId="5" xfId="0" applyFont="1" applyFill="1" applyBorder="1" applyAlignment="1" applyProtection="1">
      <alignment/>
      <protection hidden="1"/>
    </xf>
    <xf numFmtId="0" fontId="6" fillId="3" borderId="6" xfId="0" applyFont="1" applyFill="1" applyBorder="1" applyAlignment="1" applyProtection="1">
      <alignment/>
      <protection hidden="1"/>
    </xf>
    <xf numFmtId="0" fontId="6" fillId="3" borderId="7" xfId="0" applyFont="1" applyFill="1" applyBorder="1" applyAlignment="1" applyProtection="1">
      <alignment/>
      <protection hidden="1"/>
    </xf>
    <xf numFmtId="0" fontId="6" fillId="3" borderId="8" xfId="0" applyFont="1" applyFill="1" applyBorder="1" applyAlignment="1" applyProtection="1">
      <alignment/>
      <protection hidden="1"/>
    </xf>
    <xf numFmtId="0" fontId="6" fillId="3" borderId="9" xfId="0" applyFont="1" applyFill="1" applyBorder="1" applyAlignment="1" applyProtection="1">
      <alignment/>
      <protection hidden="1"/>
    </xf>
    <xf numFmtId="0" fontId="6" fillId="3" borderId="10" xfId="0" applyFont="1" applyFill="1" applyBorder="1" applyAlignment="1" applyProtection="1">
      <alignment/>
      <protection hidden="1"/>
    </xf>
    <xf numFmtId="0" fontId="6" fillId="3" borderId="6" xfId="0" applyFont="1" applyFill="1" applyBorder="1" applyAlignment="1" applyProtection="1">
      <alignment horizontal="left" indent="1"/>
      <protection hidden="1"/>
    </xf>
    <xf numFmtId="0" fontId="6" fillId="3" borderId="11" xfId="0" applyFont="1" applyFill="1" applyBorder="1" applyAlignment="1" applyProtection="1">
      <alignment horizontal="left" indent="1"/>
      <protection hidden="1"/>
    </xf>
    <xf numFmtId="0" fontId="6" fillId="3" borderId="8" xfId="0" applyFont="1" applyFill="1" applyBorder="1" applyAlignment="1" applyProtection="1">
      <alignment horizontal="left" indent="1"/>
      <protection hidden="1"/>
    </xf>
    <xf numFmtId="0" fontId="6" fillId="3" borderId="12" xfId="0" applyFont="1" applyFill="1" applyBorder="1" applyAlignment="1" applyProtection="1">
      <alignment horizontal="left" indent="1"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/>
      <protection hidden="1"/>
    </xf>
    <xf numFmtId="0" fontId="6" fillId="3" borderId="10" xfId="0" applyFont="1" applyFill="1" applyBorder="1" applyAlignment="1" applyProtection="1">
      <alignment horizontal="left" indent="1"/>
      <protection hidden="1"/>
    </xf>
    <xf numFmtId="0" fontId="6" fillId="3" borderId="13" xfId="0" applyFont="1" applyFill="1" applyBorder="1" applyAlignment="1" applyProtection="1">
      <alignment horizontal="left" indent="1"/>
      <protection hidden="1"/>
    </xf>
    <xf numFmtId="0" fontId="6" fillId="3" borderId="14" xfId="0" applyFont="1" applyFill="1" applyBorder="1" applyAlignment="1" applyProtection="1">
      <alignment/>
      <protection hidden="1"/>
    </xf>
    <xf numFmtId="0" fontId="6" fillId="3" borderId="15" xfId="0" applyFont="1" applyFill="1" applyBorder="1" applyAlignment="1" applyProtection="1">
      <alignment/>
      <protection hidden="1"/>
    </xf>
    <xf numFmtId="0" fontId="10" fillId="3" borderId="15" xfId="0" applyFont="1" applyFill="1" applyBorder="1" applyAlignment="1" applyProtection="1">
      <alignment/>
      <protection hidden="1"/>
    </xf>
    <xf numFmtId="0" fontId="6" fillId="3" borderId="16" xfId="0" applyFont="1" applyFill="1" applyBorder="1" applyAlignment="1" applyProtection="1">
      <alignment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/>
      <protection hidden="1"/>
    </xf>
    <xf numFmtId="0" fontId="4" fillId="4" borderId="1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right" vertical="center"/>
      <protection hidden="1"/>
    </xf>
    <xf numFmtId="0" fontId="9" fillId="2" borderId="1" xfId="0" applyFont="1" applyFill="1" applyBorder="1" applyAlignment="1" applyProtection="1">
      <alignment horizontal="left" vertical="center"/>
      <protection hidden="1"/>
    </xf>
    <xf numFmtId="0" fontId="9" fillId="2" borderId="17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/>
      <protection hidden="1"/>
    </xf>
    <xf numFmtId="0" fontId="8" fillId="2" borderId="1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C2:M47"/>
  <sheetViews>
    <sheetView tabSelected="1" zoomScaleSheetLayoutView="100" workbookViewId="0" topLeftCell="A1">
      <selection activeCell="C17" sqref="C17:J17"/>
    </sheetView>
  </sheetViews>
  <sheetFormatPr defaultColWidth="9.140625" defaultRowHeight="15" customHeight="1"/>
  <cols>
    <col min="1" max="5" width="9.140625" style="12" customWidth="1"/>
    <col min="6" max="6" width="1.7109375" style="12" customWidth="1"/>
    <col min="7" max="16384" width="9.140625" style="12" customWidth="1"/>
  </cols>
  <sheetData>
    <row r="2" spans="3:7" ht="15" customHeight="1">
      <c r="C2" s="26" t="s">
        <v>14</v>
      </c>
      <c r="D2" s="26"/>
      <c r="E2" s="14">
        <v>2006</v>
      </c>
      <c r="F2" s="10" t="s">
        <v>15</v>
      </c>
      <c r="G2" s="11">
        <f>E2+1</f>
        <v>2007</v>
      </c>
    </row>
    <row r="4" spans="3:13" ht="15" customHeight="1">
      <c r="C4" s="13" t="s">
        <v>0</v>
      </c>
      <c r="D4" s="13"/>
      <c r="E4" s="13"/>
      <c r="F4" s="13"/>
      <c r="G4" s="13" t="s">
        <v>52</v>
      </c>
      <c r="H4" s="13"/>
      <c r="I4" s="13"/>
      <c r="J4" s="13"/>
      <c r="K4" s="13"/>
      <c r="L4" s="13"/>
      <c r="M4" s="13">
        <v>637</v>
      </c>
    </row>
    <row r="6" spans="3:13" ht="19.5" customHeight="1">
      <c r="C6" s="25" t="s">
        <v>1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3:13" ht="15" customHeight="1">
      <c r="C8" s="19" t="s">
        <v>85</v>
      </c>
      <c r="D8" s="20"/>
      <c r="E8" s="20"/>
      <c r="F8" s="20"/>
      <c r="G8" s="20"/>
      <c r="H8" s="20"/>
      <c r="I8" s="20"/>
      <c r="J8" s="20"/>
      <c r="K8" s="27" t="str">
        <f>takvim!E5&amp;"-"&amp;takvim!E11&amp;" Eylül "&amp;E2</f>
        <v>11-17 Eylül 2006</v>
      </c>
      <c r="L8" s="27"/>
      <c r="M8" s="28"/>
    </row>
    <row r="9" spans="3:13" ht="15" customHeight="1">
      <c r="C9" s="15" t="s">
        <v>27</v>
      </c>
      <c r="D9" s="16"/>
      <c r="E9" s="16"/>
      <c r="F9" s="16"/>
      <c r="G9" s="16"/>
      <c r="H9" s="16"/>
      <c r="I9" s="16"/>
      <c r="J9" s="16"/>
      <c r="K9" s="21" t="str">
        <f>"19 Eylül "&amp;E2</f>
        <v>19 Eylül 2006</v>
      </c>
      <c r="L9" s="21"/>
      <c r="M9" s="22"/>
    </row>
    <row r="10" spans="3:13" ht="15" customHeight="1">
      <c r="C10" s="15" t="s">
        <v>28</v>
      </c>
      <c r="D10" s="16"/>
      <c r="E10" s="16"/>
      <c r="F10" s="16"/>
      <c r="G10" s="16"/>
      <c r="H10" s="16"/>
      <c r="I10" s="16"/>
      <c r="J10" s="16"/>
      <c r="K10" s="21" t="str">
        <f>"4 Ekim "&amp;E2</f>
        <v>4 Ekim 2006</v>
      </c>
      <c r="L10" s="21"/>
      <c r="M10" s="22"/>
    </row>
    <row r="11" spans="3:13" ht="15" customHeight="1">
      <c r="C11" s="15" t="s">
        <v>29</v>
      </c>
      <c r="D11" s="16"/>
      <c r="E11" s="16"/>
      <c r="F11" s="16"/>
      <c r="G11" s="16"/>
      <c r="H11" s="16"/>
      <c r="I11" s="16"/>
      <c r="J11" s="16"/>
      <c r="K11" s="21" t="str">
        <f>"8-12 Ekim "&amp;E2</f>
        <v>8-12 Ekim 2006</v>
      </c>
      <c r="L11" s="21"/>
      <c r="M11" s="22"/>
    </row>
    <row r="12" spans="3:13" ht="15" customHeight="1">
      <c r="C12" s="15" t="s">
        <v>30</v>
      </c>
      <c r="D12" s="16"/>
      <c r="E12" s="16"/>
      <c r="F12" s="16"/>
      <c r="G12" s="16"/>
      <c r="H12" s="16"/>
      <c r="I12" s="16"/>
      <c r="J12" s="16"/>
      <c r="K12" s="21" t="str">
        <f>"24 Ekim "&amp;E2</f>
        <v>24 Ekim 2006</v>
      </c>
      <c r="L12" s="21"/>
      <c r="M12" s="22"/>
    </row>
    <row r="13" spans="3:13" ht="15" customHeight="1">
      <c r="C13" s="15" t="s">
        <v>31</v>
      </c>
      <c r="D13" s="16"/>
      <c r="E13" s="16"/>
      <c r="F13" s="16"/>
      <c r="G13" s="16"/>
      <c r="H13" s="16"/>
      <c r="I13" s="16"/>
      <c r="J13" s="16"/>
      <c r="K13" s="21" t="str">
        <f>"29 Ekim-4 Kasım "&amp;E2</f>
        <v>29 Ekim-4 Kasım 2006</v>
      </c>
      <c r="L13" s="21"/>
      <c r="M13" s="22"/>
    </row>
    <row r="14" spans="3:13" ht="15" customHeight="1">
      <c r="C14" s="15" t="s">
        <v>32</v>
      </c>
      <c r="D14" s="16"/>
      <c r="E14" s="16"/>
      <c r="F14" s="16"/>
      <c r="G14" s="16"/>
      <c r="H14" s="16"/>
      <c r="I14" s="16"/>
      <c r="J14" s="16"/>
      <c r="K14" s="21" t="str">
        <f>"2-8 Kasım "&amp;E2</f>
        <v>2-8 Kasım 2006</v>
      </c>
      <c r="L14" s="21"/>
      <c r="M14" s="22"/>
    </row>
    <row r="15" spans="3:13" ht="15" customHeight="1">
      <c r="C15" s="15" t="s">
        <v>33</v>
      </c>
      <c r="D15" s="16"/>
      <c r="E15" s="16"/>
      <c r="F15" s="16"/>
      <c r="G15" s="16"/>
      <c r="H15" s="16"/>
      <c r="I15" s="16"/>
      <c r="J15" s="16"/>
      <c r="K15" s="21" t="str">
        <f>"10-16 Kasım "&amp;E2</f>
        <v>10-16 Kasım 2006</v>
      </c>
      <c r="L15" s="21"/>
      <c r="M15" s="22"/>
    </row>
    <row r="16" spans="3:13" ht="15" customHeight="1">
      <c r="C16" s="15" t="s">
        <v>34</v>
      </c>
      <c r="D16" s="16"/>
      <c r="E16" s="16"/>
      <c r="F16" s="16"/>
      <c r="G16" s="16"/>
      <c r="H16" s="16"/>
      <c r="I16" s="16"/>
      <c r="J16" s="16"/>
      <c r="K16" s="21" t="str">
        <f>"12 Kasım "&amp;E2</f>
        <v>12 Kasım 2006</v>
      </c>
      <c r="L16" s="21"/>
      <c r="M16" s="22"/>
    </row>
    <row r="17" spans="3:13" ht="15" customHeight="1">
      <c r="C17" s="15" t="s">
        <v>35</v>
      </c>
      <c r="D17" s="16"/>
      <c r="E17" s="16"/>
      <c r="F17" s="16"/>
      <c r="G17" s="16"/>
      <c r="H17" s="16"/>
      <c r="I17" s="16"/>
      <c r="J17" s="16"/>
      <c r="K17" s="21" t="str">
        <f>"20 Kasım "&amp;E2</f>
        <v>20 Kasım 2006</v>
      </c>
      <c r="L17" s="21"/>
      <c r="M17" s="22"/>
    </row>
    <row r="18" spans="3:13" ht="15" customHeight="1">
      <c r="C18" s="15" t="s">
        <v>36</v>
      </c>
      <c r="D18" s="16"/>
      <c r="E18" s="16"/>
      <c r="F18" s="16"/>
      <c r="G18" s="16"/>
      <c r="H18" s="16"/>
      <c r="I18" s="16"/>
      <c r="J18" s="16"/>
      <c r="K18" s="21" t="str">
        <f>"24 Kasım "&amp;E2</f>
        <v>24 Kasım 2006</v>
      </c>
      <c r="L18" s="21"/>
      <c r="M18" s="22"/>
    </row>
    <row r="19" spans="3:13" ht="15" customHeight="1">
      <c r="C19" s="15" t="s">
        <v>37</v>
      </c>
      <c r="D19" s="16"/>
      <c r="E19" s="16"/>
      <c r="F19" s="16"/>
      <c r="G19" s="16"/>
      <c r="H19" s="16"/>
      <c r="I19" s="16"/>
      <c r="J19" s="16"/>
      <c r="K19" s="21" t="str">
        <f>"1 Aralık "&amp;E2</f>
        <v>1 Aralık 2006</v>
      </c>
      <c r="L19" s="21"/>
      <c r="M19" s="22"/>
    </row>
    <row r="20" spans="3:13" ht="15" customHeight="1">
      <c r="C20" s="15" t="s">
        <v>80</v>
      </c>
      <c r="D20" s="16"/>
      <c r="E20" s="16"/>
      <c r="F20" s="16"/>
      <c r="G20" s="16"/>
      <c r="H20" s="16"/>
      <c r="I20" s="16"/>
      <c r="J20" s="16"/>
      <c r="K20" s="21" t="str">
        <f>IF(COUNTIF(takvim!D14:D20,"10")=1,takvim!D14&amp;"-"&amp;takvim!D20&amp;" Aralık "&amp;E2,takvim!E14&amp;"-"&amp;takvim!E20&amp;" Aralık "&amp;E2)</f>
        <v>4-10 Aralık 2006</v>
      </c>
      <c r="L20" s="21"/>
      <c r="M20" s="22"/>
    </row>
    <row r="21" spans="3:13" ht="15" customHeight="1">
      <c r="C21" s="15" t="s">
        <v>38</v>
      </c>
      <c r="D21" s="16"/>
      <c r="E21" s="16"/>
      <c r="F21" s="16"/>
      <c r="G21" s="16"/>
      <c r="H21" s="16"/>
      <c r="I21" s="16"/>
      <c r="J21" s="16"/>
      <c r="K21" s="21" t="str">
        <f>"12-18 Aralık "&amp;E2</f>
        <v>12-18 Aralık 2006</v>
      </c>
      <c r="L21" s="21"/>
      <c r="M21" s="22"/>
    </row>
    <row r="22" spans="3:13" ht="15" customHeight="1">
      <c r="C22" s="15" t="s">
        <v>39</v>
      </c>
      <c r="D22" s="16"/>
      <c r="E22" s="16"/>
      <c r="F22" s="16"/>
      <c r="G22" s="16"/>
      <c r="H22" s="16"/>
      <c r="I22" s="16"/>
      <c r="J22" s="16"/>
      <c r="K22" s="21" t="str">
        <f>takvim!L17&amp;"-"&amp;takvim!L20&amp;" Ocak "&amp;(E2+1)</f>
        <v>11-14 Ocak 2007</v>
      </c>
      <c r="L22" s="21"/>
      <c r="M22" s="22"/>
    </row>
    <row r="23" spans="3:13" ht="15" customHeight="1">
      <c r="C23" s="15" t="s">
        <v>40</v>
      </c>
      <c r="D23" s="16"/>
      <c r="E23" s="16"/>
      <c r="F23" s="16"/>
      <c r="G23" s="16"/>
      <c r="H23" s="16"/>
      <c r="I23" s="16"/>
      <c r="J23" s="16"/>
      <c r="K23" s="21" t="str">
        <f>"28 Şubat "&amp;(E2+1)</f>
        <v>28 Şubat 2007</v>
      </c>
      <c r="L23" s="21"/>
      <c r="M23" s="22"/>
    </row>
    <row r="24" spans="3:13" ht="15" customHeight="1">
      <c r="C24" s="15" t="s">
        <v>83</v>
      </c>
      <c r="D24" s="16"/>
      <c r="E24" s="16"/>
      <c r="F24" s="16"/>
      <c r="G24" s="16"/>
      <c r="H24" s="16"/>
      <c r="I24" s="16"/>
      <c r="J24" s="16"/>
      <c r="K24" s="21" t="str">
        <f>IF(takvim!C29&gt;3,"1"&amp;"-"&amp;takvim!C29&amp;" Mart "&amp;(E2+1),takvim!D23&amp;"-"&amp;takvim!D29&amp;" Mart "&amp;(E2+1))</f>
        <v>1-4 Mart 2007</v>
      </c>
      <c r="L24" s="21"/>
      <c r="M24" s="22"/>
    </row>
    <row r="25" spans="3:13" ht="15" customHeight="1">
      <c r="C25" s="15" t="s">
        <v>84</v>
      </c>
      <c r="D25" s="16"/>
      <c r="E25" s="16"/>
      <c r="F25" s="16"/>
      <c r="G25" s="16"/>
      <c r="H25" s="16"/>
      <c r="I25" s="16"/>
      <c r="J25" s="16"/>
      <c r="K25" s="21" t="str">
        <f>IF(takvim!C29&gt;3,"1"&amp;"-"&amp;takvim!C29&amp;" Mart "&amp;(E2+1),takvim!D23&amp;"-"&amp;takvim!D29&amp;" Mart "&amp;(E2+1))</f>
        <v>1-4 Mart 2007</v>
      </c>
      <c r="L25" s="21"/>
      <c r="M25" s="22"/>
    </row>
    <row r="26" spans="3:13" ht="15" customHeight="1">
      <c r="C26" s="15" t="s">
        <v>41</v>
      </c>
      <c r="D26" s="16"/>
      <c r="E26" s="16"/>
      <c r="F26" s="16"/>
      <c r="G26" s="16"/>
      <c r="H26" s="16"/>
      <c r="I26" s="16"/>
      <c r="J26" s="16"/>
      <c r="K26" s="21" t="str">
        <f>"8-14 Mart "&amp;(E2+1)</f>
        <v>8-14 Mart 2007</v>
      </c>
      <c r="L26" s="21"/>
      <c r="M26" s="22"/>
    </row>
    <row r="27" spans="3:13" ht="15" customHeight="1">
      <c r="C27" s="15" t="s">
        <v>23</v>
      </c>
      <c r="D27" s="16"/>
      <c r="E27" s="16"/>
      <c r="F27" s="16"/>
      <c r="G27" s="16"/>
      <c r="H27" s="16"/>
      <c r="I27" s="16"/>
      <c r="J27" s="16"/>
      <c r="K27" s="21" t="str">
        <f>"12 Mart "&amp;(E2+1)</f>
        <v>12 Mart 2007</v>
      </c>
      <c r="L27" s="21"/>
      <c r="M27" s="22"/>
    </row>
    <row r="28" spans="3:13" ht="15" customHeight="1">
      <c r="C28" s="15" t="s">
        <v>24</v>
      </c>
      <c r="D28" s="16"/>
      <c r="E28" s="16"/>
      <c r="F28" s="16"/>
      <c r="G28" s="16"/>
      <c r="H28" s="16"/>
      <c r="I28" s="16"/>
      <c r="J28" s="16"/>
      <c r="K28" s="21" t="str">
        <f>"15-21 Mart "&amp;(E2+1)</f>
        <v>15-21 Mart 2007</v>
      </c>
      <c r="L28" s="21"/>
      <c r="M28" s="22"/>
    </row>
    <row r="29" spans="3:13" ht="15" customHeight="1">
      <c r="C29" s="15" t="s">
        <v>42</v>
      </c>
      <c r="D29" s="16"/>
      <c r="E29" s="16"/>
      <c r="F29" s="16"/>
      <c r="G29" s="16"/>
      <c r="H29" s="16"/>
      <c r="I29" s="16"/>
      <c r="J29" s="16"/>
      <c r="K29" s="21" t="str">
        <f>"18 Mart "&amp;(E2+1)</f>
        <v>18 Mart 2007</v>
      </c>
      <c r="L29" s="21"/>
      <c r="M29" s="22"/>
    </row>
    <row r="30" spans="3:13" ht="15" customHeight="1">
      <c r="C30" s="15" t="s">
        <v>81</v>
      </c>
      <c r="D30" s="16"/>
      <c r="E30" s="16"/>
      <c r="F30" s="16"/>
      <c r="G30" s="16"/>
      <c r="H30" s="16"/>
      <c r="I30" s="16"/>
      <c r="J30" s="16"/>
      <c r="K30" s="21" t="str">
        <f>IF(COUNTIF(takvim!E23:E29,"21")=1,takvim!E23&amp;"-"&amp;takvim!E29&amp;" Mart "&amp;(E2+1),takvim!F23&amp;"-"&amp;takvim!F29&amp;" Mart "&amp;(E2+1))</f>
        <v>19-25 Mart 2007</v>
      </c>
      <c r="L30" s="21"/>
      <c r="M30" s="22"/>
    </row>
    <row r="31" spans="3:13" ht="15" customHeight="1">
      <c r="C31" s="15" t="s">
        <v>43</v>
      </c>
      <c r="D31" s="16"/>
      <c r="E31" s="16"/>
      <c r="F31" s="16"/>
      <c r="G31" s="16"/>
      <c r="H31" s="16"/>
      <c r="I31" s="16"/>
      <c r="J31" s="16"/>
      <c r="K31" s="21" t="str">
        <f>"21-26 Mart "&amp;(E2+1)</f>
        <v>21-26 Mart 2007</v>
      </c>
      <c r="L31" s="21"/>
      <c r="M31" s="22"/>
    </row>
    <row r="32" spans="3:13" ht="15" customHeight="1">
      <c r="C32" s="15" t="s">
        <v>44</v>
      </c>
      <c r="D32" s="16"/>
      <c r="E32" s="16"/>
      <c r="F32" s="16"/>
      <c r="G32" s="16"/>
      <c r="H32" s="16"/>
      <c r="I32" s="16"/>
      <c r="J32" s="16"/>
      <c r="K32" s="21" t="str">
        <f>"27 Mart "&amp;(E2+1)</f>
        <v>27 Mart 2007</v>
      </c>
      <c r="L32" s="21"/>
      <c r="M32" s="22"/>
    </row>
    <row r="33" spans="3:13" ht="15" customHeight="1">
      <c r="C33" s="15" t="s">
        <v>86</v>
      </c>
      <c r="D33" s="16"/>
      <c r="E33" s="16"/>
      <c r="F33" s="16"/>
      <c r="G33" s="16"/>
      <c r="H33" s="16"/>
      <c r="I33" s="16"/>
      <c r="J33" s="16"/>
      <c r="K33" s="21" t="str">
        <f>IF(takvim!X23&gt;0,takvim!X23&amp;" Mart "&amp;(E2+1),takvim!W23&amp;" Mart "&amp;(E2+1))</f>
        <v>28 Mart 2007</v>
      </c>
      <c r="L33" s="21"/>
      <c r="M33" s="22"/>
    </row>
    <row r="34" spans="3:13" ht="15" customHeight="1">
      <c r="C34" s="15" t="s">
        <v>45</v>
      </c>
      <c r="D34" s="16"/>
      <c r="E34" s="16"/>
      <c r="F34" s="16"/>
      <c r="G34" s="16"/>
      <c r="H34" s="16"/>
      <c r="I34" s="16"/>
      <c r="J34" s="16"/>
      <c r="K34" s="21" t="str">
        <f>"15-22 Nisan "&amp;(E2+1)</f>
        <v>15-22 Nisan 2007</v>
      </c>
      <c r="L34" s="21"/>
      <c r="M34" s="22"/>
    </row>
    <row r="35" spans="3:13" ht="15" customHeight="1">
      <c r="C35" s="15" t="s">
        <v>82</v>
      </c>
      <c r="D35" s="16"/>
      <c r="E35" s="16"/>
      <c r="F35" s="16"/>
      <c r="G35" s="16"/>
      <c r="H35" s="16"/>
      <c r="I35" s="16"/>
      <c r="J35" s="16"/>
      <c r="K35" s="21" t="str">
        <f>IF(COUNTIF(takvim!N23:N29,"23")=1,takvim!N23&amp;"-"&amp;takvim!N29&amp;" Nisan "&amp;(E2+1),takvim!O23&amp;"-"&amp;takvim!O29&amp;" Nisan "&amp;(E2+1))</f>
        <v>23-29 Nisan 2007</v>
      </c>
      <c r="L35" s="21"/>
      <c r="M35" s="22"/>
    </row>
    <row r="36" spans="3:13" ht="15" customHeight="1">
      <c r="C36" s="15" t="s">
        <v>87</v>
      </c>
      <c r="D36" s="16"/>
      <c r="E36" s="16"/>
      <c r="F36" s="16"/>
      <c r="G36" s="16"/>
      <c r="H36" s="16"/>
      <c r="I36" s="16"/>
      <c r="J36" s="16"/>
      <c r="K36" s="21" t="str">
        <f>IF(takvim!S29&gt;3,"1"&amp;"-"&amp;takvim!S29&amp;" Mayıs "&amp;(E2+1),takvim!T23&amp;"-"&amp;takvim!T29&amp;" Mayıs "&amp;(E2+1))</f>
        <v>1-6 Mayıs 2007</v>
      </c>
      <c r="L36" s="21"/>
      <c r="M36" s="22"/>
    </row>
    <row r="37" spans="3:13" ht="15" customHeight="1">
      <c r="C37" s="15" t="s">
        <v>88</v>
      </c>
      <c r="D37" s="16"/>
      <c r="E37" s="16"/>
      <c r="F37" s="16"/>
      <c r="G37" s="16"/>
      <c r="H37" s="16"/>
      <c r="I37" s="16"/>
      <c r="J37" s="16"/>
      <c r="K37" s="21" t="str">
        <f>IF(takvim!S29&gt;3,"1"&amp;"-"&amp;takvim!S29&amp;" Mayıs "&amp;(E2+1),takvim!T23&amp;"-"&amp;takvim!T29&amp;" Mayıs "&amp;(E2+1))</f>
        <v>1-6 Mayıs 2007</v>
      </c>
      <c r="L37" s="21"/>
      <c r="M37" s="22"/>
    </row>
    <row r="38" spans="3:13" ht="15" customHeight="1">
      <c r="C38" s="15" t="s">
        <v>46</v>
      </c>
      <c r="D38" s="16"/>
      <c r="E38" s="16"/>
      <c r="F38" s="16"/>
      <c r="G38" s="16"/>
      <c r="H38" s="16"/>
      <c r="I38" s="16"/>
      <c r="J38" s="16"/>
      <c r="K38" s="21" t="str">
        <f>takvim!T23&amp;"-"&amp;takvim!T29&amp;" Mayıs "&amp;(E2+1)</f>
        <v>7-13 Mayıs 2007</v>
      </c>
      <c r="L38" s="21"/>
      <c r="M38" s="22"/>
    </row>
    <row r="39" spans="3:13" ht="15" customHeight="1">
      <c r="C39" s="15" t="s">
        <v>47</v>
      </c>
      <c r="D39" s="16"/>
      <c r="E39" s="16"/>
      <c r="F39" s="16"/>
      <c r="G39" s="16"/>
      <c r="H39" s="16"/>
      <c r="I39" s="16"/>
      <c r="J39" s="16"/>
      <c r="K39" s="21" t="str">
        <f>"10-16 Mayıs "&amp;(E2+1)</f>
        <v>10-16 Mayıs 2007</v>
      </c>
      <c r="L39" s="21"/>
      <c r="M39" s="22"/>
    </row>
    <row r="40" spans="3:13" ht="15" customHeight="1">
      <c r="C40" s="15" t="s">
        <v>48</v>
      </c>
      <c r="D40" s="16"/>
      <c r="E40" s="16"/>
      <c r="F40" s="16"/>
      <c r="G40" s="16"/>
      <c r="H40" s="16"/>
      <c r="I40" s="16"/>
      <c r="J40" s="16"/>
      <c r="K40" s="21" t="str">
        <f>"18-24 Mayıs "&amp;(E2+1)</f>
        <v>18-24 Mayıs 2007</v>
      </c>
      <c r="L40" s="21"/>
      <c r="M40" s="22"/>
    </row>
    <row r="41" spans="3:13" ht="15" customHeight="1">
      <c r="C41" s="15" t="s">
        <v>49</v>
      </c>
      <c r="D41" s="16"/>
      <c r="E41" s="16"/>
      <c r="F41" s="16"/>
      <c r="G41" s="16"/>
      <c r="H41" s="16"/>
      <c r="I41" s="16"/>
      <c r="J41" s="16"/>
      <c r="K41" s="21" t="str">
        <f>"25 Mayıs "&amp;(E2+1)</f>
        <v>25 Mayıs 2007</v>
      </c>
      <c r="L41" s="21"/>
      <c r="M41" s="22"/>
    </row>
    <row r="42" spans="3:13" ht="15" customHeight="1">
      <c r="C42" s="15" t="s">
        <v>50</v>
      </c>
      <c r="D42" s="16"/>
      <c r="E42" s="16"/>
      <c r="F42" s="16"/>
      <c r="G42" s="16"/>
      <c r="H42" s="16"/>
      <c r="I42" s="16"/>
      <c r="J42" s="16"/>
      <c r="K42" s="21" t="str">
        <f>takvim!D32&amp;"-"&amp;takvim!D38&amp;" Haziran "&amp;(E2+1)</f>
        <v>4-10 Haziran 2007</v>
      </c>
      <c r="L42" s="21"/>
      <c r="M42" s="22"/>
    </row>
    <row r="43" spans="3:13" ht="15" customHeight="1">
      <c r="C43" s="17" t="s">
        <v>25</v>
      </c>
      <c r="D43" s="18"/>
      <c r="E43" s="18"/>
      <c r="F43" s="18"/>
      <c r="G43" s="18"/>
      <c r="H43" s="18"/>
      <c r="I43" s="18"/>
      <c r="J43" s="18"/>
      <c r="K43" s="23" t="s">
        <v>26</v>
      </c>
      <c r="L43" s="23"/>
      <c r="M43" s="24"/>
    </row>
    <row r="45" ht="15" customHeight="1">
      <c r="C45" s="12" t="s">
        <v>11</v>
      </c>
    </row>
    <row r="46" ht="15" customHeight="1">
      <c r="C46" s="12" t="s">
        <v>12</v>
      </c>
    </row>
    <row r="47" ht="15" customHeight="1">
      <c r="C47" s="12" t="s">
        <v>13</v>
      </c>
    </row>
  </sheetData>
  <sheetProtection sheet="1" objects="1" scenarios="1" selectLockedCells="1" selectUnlockedCells="1"/>
  <mergeCells count="74">
    <mergeCell ref="K17:M17"/>
    <mergeCell ref="K18:M18"/>
    <mergeCell ref="C6:M6"/>
    <mergeCell ref="C2:D2"/>
    <mergeCell ref="K16:M16"/>
    <mergeCell ref="K12:M12"/>
    <mergeCell ref="K13:M13"/>
    <mergeCell ref="K14:M14"/>
    <mergeCell ref="K15:M15"/>
    <mergeCell ref="K8:M8"/>
    <mergeCell ref="K27:M27"/>
    <mergeCell ref="K28:M28"/>
    <mergeCell ref="K19:M19"/>
    <mergeCell ref="K20:M20"/>
    <mergeCell ref="K21:M21"/>
    <mergeCell ref="K22:M22"/>
    <mergeCell ref="K23:M23"/>
    <mergeCell ref="K24:M24"/>
    <mergeCell ref="K25:M25"/>
    <mergeCell ref="K26:M26"/>
    <mergeCell ref="K40:M40"/>
    <mergeCell ref="K41:M41"/>
    <mergeCell ref="K29:M29"/>
    <mergeCell ref="K30:M30"/>
    <mergeCell ref="K36:M36"/>
    <mergeCell ref="K37:M37"/>
    <mergeCell ref="K38:M38"/>
    <mergeCell ref="K39:M39"/>
    <mergeCell ref="K9:M9"/>
    <mergeCell ref="K10:M10"/>
    <mergeCell ref="K11:M11"/>
    <mergeCell ref="K43:M43"/>
    <mergeCell ref="K31:M31"/>
    <mergeCell ref="K32:M32"/>
    <mergeCell ref="K33:M33"/>
    <mergeCell ref="K34:M34"/>
    <mergeCell ref="K42:M42"/>
    <mergeCell ref="K35:M35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41:J41"/>
    <mergeCell ref="C42:J42"/>
    <mergeCell ref="C43:J43"/>
    <mergeCell ref="C37:J37"/>
    <mergeCell ref="C38:J38"/>
    <mergeCell ref="C39:J39"/>
    <mergeCell ref="C40:J40"/>
  </mergeCells>
  <printOptions horizontalCentered="1"/>
  <pageMargins left="0.3937007874015748" right="0.1968503937007874" top="0.984251968503937" bottom="0.3937007874015748" header="0" footer="0"/>
  <pageSetup blackAndWhite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M40"/>
  <sheetViews>
    <sheetView zoomScaleSheetLayoutView="100" workbookViewId="0" topLeftCell="A1">
      <selection activeCell="C12" sqref="C12:M12"/>
    </sheetView>
  </sheetViews>
  <sheetFormatPr defaultColWidth="9.140625" defaultRowHeight="12.75"/>
  <cols>
    <col min="1" max="5" width="9.140625" style="12" customWidth="1"/>
    <col min="6" max="6" width="1.7109375" style="12" customWidth="1"/>
    <col min="7" max="16384" width="9.140625" style="12" customWidth="1"/>
  </cols>
  <sheetData>
    <row r="4" spans="3:13" ht="15" customHeight="1">
      <c r="C4" s="13" t="s">
        <v>0</v>
      </c>
      <c r="D4" s="13"/>
      <c r="E4" s="13"/>
      <c r="F4" s="13"/>
      <c r="G4" s="13" t="s">
        <v>52</v>
      </c>
      <c r="H4" s="13"/>
      <c r="I4" s="13"/>
      <c r="J4" s="13"/>
      <c r="K4" s="13"/>
      <c r="L4" s="13"/>
      <c r="M4" s="13">
        <v>636</v>
      </c>
    </row>
    <row r="5" ht="15" customHeight="1"/>
    <row r="6" spans="3:13" ht="19.5" customHeight="1">
      <c r="C6" s="25" t="s">
        <v>90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ht="15" customHeight="1"/>
    <row r="8" spans="3:13" ht="15" customHeight="1">
      <c r="C8" s="32" t="s">
        <v>89</v>
      </c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3:13" ht="15" customHeight="1">
      <c r="C9" s="30" t="s">
        <v>91</v>
      </c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3:13" ht="15" customHeight="1">
      <c r="C10" s="30" t="s">
        <v>92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3:13" ht="15" customHeight="1">
      <c r="C11" s="30" t="s">
        <v>93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3:13" ht="15" customHeight="1">
      <c r="C12" s="30" t="s">
        <v>94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3:13" ht="15" customHeight="1">
      <c r="C13" s="30" t="s">
        <v>95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3:13" ht="15" customHeight="1">
      <c r="C14" s="30" t="s">
        <v>96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3:13" ht="15" customHeight="1">
      <c r="C15" s="30" t="s">
        <v>97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3:13" ht="15" customHeight="1">
      <c r="C16" s="30" t="s">
        <v>98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3:13" ht="15" customHeight="1">
      <c r="C17" s="30" t="s">
        <v>99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3:13" ht="15" customHeight="1">
      <c r="C18" s="30" t="s">
        <v>100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3:13" ht="15" customHeight="1">
      <c r="C19" s="30" t="s">
        <v>101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3:13" ht="15" customHeight="1">
      <c r="C20" s="30" t="s">
        <v>102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3:13" ht="15" customHeight="1">
      <c r="C21" s="30" t="s">
        <v>103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3:13" ht="15" customHeight="1">
      <c r="C22" s="30" t="s">
        <v>104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3:13" ht="15" customHeight="1">
      <c r="C23" s="30" t="s">
        <v>105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3:13" ht="15" customHeight="1">
      <c r="C24" s="30" t="s">
        <v>106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3:13" ht="15" customHeight="1">
      <c r="C25" s="30" t="s">
        <v>107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3:13" ht="15" customHeight="1">
      <c r="C26" s="30" t="s">
        <v>108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3:13" ht="15" customHeight="1">
      <c r="C27" s="30" t="s">
        <v>109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3:13" ht="15" customHeight="1">
      <c r="C28" s="30" t="s">
        <v>110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3:13" ht="15" customHeight="1">
      <c r="C29" s="30" t="s">
        <v>111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3:13" ht="15" customHeight="1">
      <c r="C30" s="31" t="s">
        <v>112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3:13" ht="15" customHeight="1">
      <c r="C31" s="30" t="s">
        <v>113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3:13" ht="15" customHeight="1">
      <c r="C32" s="30" t="s">
        <v>114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3:13" ht="15" customHeight="1">
      <c r="C33" s="30" t="s">
        <v>115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3:13" ht="15" customHeight="1">
      <c r="C34" s="30" t="s">
        <v>116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3:13" ht="15" customHeight="1">
      <c r="C35" s="30" t="s">
        <v>117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3:13" ht="15" customHeight="1">
      <c r="C36" s="30" t="s">
        <v>118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3:13" ht="15" customHeight="1">
      <c r="C37" s="29" t="s">
        <v>119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ht="15" customHeight="1"/>
    <row r="39" ht="15" customHeight="1">
      <c r="C39" s="12" t="s">
        <v>120</v>
      </c>
    </row>
    <row r="40" ht="15" customHeight="1">
      <c r="C40" s="12" t="s">
        <v>121</v>
      </c>
    </row>
    <row r="41" ht="15" customHeight="1"/>
  </sheetData>
  <sheetProtection sheet="1" objects="1" scenarios="1" selectLockedCells="1" selectUnlockedCells="1"/>
  <mergeCells count="31">
    <mergeCell ref="C6:M6"/>
    <mergeCell ref="C8:M8"/>
    <mergeCell ref="C9:M9"/>
    <mergeCell ref="C10:M10"/>
    <mergeCell ref="C11:M11"/>
    <mergeCell ref="C12:M12"/>
    <mergeCell ref="C13:M13"/>
    <mergeCell ref="C14:M14"/>
    <mergeCell ref="C15:M15"/>
    <mergeCell ref="C16:M16"/>
    <mergeCell ref="C17:M17"/>
    <mergeCell ref="C18:M18"/>
    <mergeCell ref="C19:M19"/>
    <mergeCell ref="C20:M20"/>
    <mergeCell ref="C21:M21"/>
    <mergeCell ref="C22:M22"/>
    <mergeCell ref="C23:M23"/>
    <mergeCell ref="C24:M24"/>
    <mergeCell ref="C25:M25"/>
    <mergeCell ref="C26:M26"/>
    <mergeCell ref="C27:M27"/>
    <mergeCell ref="C28:M28"/>
    <mergeCell ref="C29:M29"/>
    <mergeCell ref="C30:M30"/>
    <mergeCell ref="C37:M37"/>
    <mergeCell ref="C35:M35"/>
    <mergeCell ref="C36:M36"/>
    <mergeCell ref="C31:M31"/>
    <mergeCell ref="C32:M32"/>
    <mergeCell ref="C33:M33"/>
    <mergeCell ref="C34:M34"/>
  </mergeCells>
  <printOptions horizontalCentered="1"/>
  <pageMargins left="0.3937007874015748" right="0.1968503937007874" top="0.984251968503937" bottom="0.3937007874015748" header="0" footer="0"/>
  <pageSetup blackAndWhite="1" horizontalDpi="180" verticalDpi="18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M47"/>
  <sheetViews>
    <sheetView zoomScaleSheetLayoutView="100" workbookViewId="0" topLeftCell="A1">
      <selection activeCell="C23" sqref="C23:M23"/>
    </sheetView>
  </sheetViews>
  <sheetFormatPr defaultColWidth="9.140625" defaultRowHeight="15" customHeight="1"/>
  <cols>
    <col min="1" max="5" width="9.140625" style="12" customWidth="1"/>
    <col min="6" max="6" width="1.7109375" style="12" customWidth="1"/>
    <col min="7" max="16384" width="9.140625" style="12" customWidth="1"/>
  </cols>
  <sheetData>
    <row r="4" spans="3:13" ht="15" customHeight="1">
      <c r="C4" s="13" t="s">
        <v>0</v>
      </c>
      <c r="D4" s="13"/>
      <c r="E4" s="13"/>
      <c r="F4" s="13"/>
      <c r="G4" s="13" t="s">
        <v>52</v>
      </c>
      <c r="H4" s="13"/>
      <c r="I4" s="13"/>
      <c r="J4" s="13"/>
      <c r="K4" s="13"/>
      <c r="L4" s="13"/>
      <c r="M4" s="13">
        <v>637</v>
      </c>
    </row>
    <row r="6" spans="3:13" ht="19.5" customHeight="1">
      <c r="C6" s="25" t="s">
        <v>1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3:13" ht="15" customHeight="1">
      <c r="C8" s="32" t="s">
        <v>2</v>
      </c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3:13" ht="15" customHeight="1">
      <c r="C9" s="30" t="s">
        <v>53</v>
      </c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3:13" ht="15" customHeight="1">
      <c r="C10" s="30" t="s">
        <v>54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3:13" ht="15" customHeight="1">
      <c r="C11" s="30" t="s">
        <v>55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3:13" ht="15" customHeight="1">
      <c r="C12" s="30" t="s">
        <v>57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3:13" ht="15" customHeight="1">
      <c r="C13" s="30" t="s">
        <v>58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3:13" ht="15" customHeight="1">
      <c r="C14" s="30" t="s">
        <v>59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3:13" ht="15" customHeight="1">
      <c r="C15" s="30" t="s">
        <v>60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3:13" ht="15" customHeight="1">
      <c r="C16" s="30" t="s">
        <v>61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3:13" ht="15" customHeight="1">
      <c r="C17" s="30" t="s">
        <v>62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3:13" ht="15" customHeight="1">
      <c r="C18" s="30" t="s">
        <v>63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3:13" ht="15" customHeight="1">
      <c r="C19" s="30" t="s">
        <v>64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3:13" ht="15" customHeight="1">
      <c r="C20" s="30" t="s">
        <v>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3:13" ht="15" customHeight="1">
      <c r="C21" s="30" t="s">
        <v>65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3:13" ht="15" customHeight="1">
      <c r="C22" s="30" t="s">
        <v>66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3:13" ht="15" customHeight="1">
      <c r="C23" s="30" t="s">
        <v>67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3:13" ht="15" customHeight="1">
      <c r="C24" s="30" t="s">
        <v>4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3:13" ht="15" customHeight="1">
      <c r="C25" s="30" t="s">
        <v>5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3:13" ht="15" customHeight="1">
      <c r="C26" s="30" t="s">
        <v>68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3:13" ht="15" customHeight="1">
      <c r="C27" s="30" t="s">
        <v>69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3:13" ht="15" customHeight="1">
      <c r="C28" s="30" t="s">
        <v>70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3:13" ht="15" customHeight="1">
      <c r="C29" s="30" t="s">
        <v>71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3:13" ht="15" customHeight="1">
      <c r="C30" s="30" t="s">
        <v>6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3:13" ht="15" customHeight="1">
      <c r="C31" s="30" t="s">
        <v>72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3:13" ht="15" customHeight="1">
      <c r="C32" s="30" t="s">
        <v>73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3:13" ht="15" customHeight="1">
      <c r="C33" s="30" t="s">
        <v>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3:13" ht="15" customHeight="1">
      <c r="C34" s="30" t="s">
        <v>74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3:13" ht="15" customHeight="1">
      <c r="C35" s="30" t="s">
        <v>8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3:13" ht="15" customHeight="1">
      <c r="C36" s="30" t="s">
        <v>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3:13" ht="15" customHeight="1">
      <c r="C37" s="30" t="s">
        <v>10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3:13" ht="15" customHeight="1">
      <c r="C38" s="30" t="s">
        <v>75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3:13" ht="15" customHeight="1">
      <c r="C39" s="30" t="s">
        <v>76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3:13" ht="15" customHeight="1">
      <c r="C40" s="30" t="s">
        <v>77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3:13" ht="15" customHeight="1">
      <c r="C41" s="30" t="s">
        <v>78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3:13" ht="15" customHeight="1">
      <c r="C42" s="30" t="s">
        <v>79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3:13" ht="15" customHeight="1">
      <c r="C43" s="29" t="s">
        <v>56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5" ht="15" customHeight="1">
      <c r="C45" s="12" t="s">
        <v>11</v>
      </c>
    </row>
    <row r="46" ht="15" customHeight="1">
      <c r="C46" s="12" t="s">
        <v>12</v>
      </c>
    </row>
    <row r="47" ht="15" customHeight="1">
      <c r="C47" s="12" t="s">
        <v>13</v>
      </c>
    </row>
  </sheetData>
  <sheetProtection selectLockedCells="1" selectUnlockedCells="1"/>
  <mergeCells count="37">
    <mergeCell ref="C15:M15"/>
    <mergeCell ref="C8:M8"/>
    <mergeCell ref="C11:M11"/>
    <mergeCell ref="C43:M43"/>
    <mergeCell ref="C17:M17"/>
    <mergeCell ref="C18:M18"/>
    <mergeCell ref="C16:M16"/>
    <mergeCell ref="C25:M25"/>
    <mergeCell ref="C26:M26"/>
    <mergeCell ref="C23:M23"/>
    <mergeCell ref="C24:M24"/>
    <mergeCell ref="C31:M31"/>
    <mergeCell ref="C32:M32"/>
    <mergeCell ref="C6:M6"/>
    <mergeCell ref="C21:M21"/>
    <mergeCell ref="C22:M22"/>
    <mergeCell ref="C19:M19"/>
    <mergeCell ref="C20:M20"/>
    <mergeCell ref="C12:M12"/>
    <mergeCell ref="C13:M13"/>
    <mergeCell ref="C14:M14"/>
    <mergeCell ref="C9:M9"/>
    <mergeCell ref="C10:M10"/>
    <mergeCell ref="C42:M42"/>
    <mergeCell ref="C39:M39"/>
    <mergeCell ref="C40:M40"/>
    <mergeCell ref="C37:M37"/>
    <mergeCell ref="C38:M38"/>
    <mergeCell ref="C41:M41"/>
    <mergeCell ref="C35:M35"/>
    <mergeCell ref="C36:M36"/>
    <mergeCell ref="C27:M27"/>
    <mergeCell ref="C28:M28"/>
    <mergeCell ref="C33:M33"/>
    <mergeCell ref="C34:M34"/>
    <mergeCell ref="C29:M29"/>
    <mergeCell ref="C30:M30"/>
  </mergeCells>
  <printOptions horizontalCentered="1"/>
  <pageMargins left="0.3937007874015748" right="0.1968503937007874" top="0.984251968503937" bottom="0.3937007874015748" header="0" footer="0"/>
  <pageSetup blackAndWhite="1" horizontalDpi="120" verticalDpi="12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38"/>
  <sheetViews>
    <sheetView showGridLines="0" showZeros="0" zoomScaleSheetLayoutView="100" workbookViewId="0" topLeftCell="A1">
      <selection activeCell="Y14" sqref="Y14"/>
    </sheetView>
  </sheetViews>
  <sheetFormatPr defaultColWidth="9.140625" defaultRowHeight="12.75"/>
  <cols>
    <col min="1" max="2" width="9.140625" style="3" customWidth="1"/>
    <col min="3" max="9" width="2.7109375" style="3" customWidth="1"/>
    <col min="10" max="10" width="10.140625" style="3" bestFit="1" customWidth="1"/>
    <col min="11" max="17" width="2.7109375" style="3" customWidth="1"/>
    <col min="18" max="18" width="9.140625" style="3" customWidth="1"/>
    <col min="19" max="24" width="2.57421875" style="3" customWidth="1"/>
    <col min="25" max="16384" width="9.140625" style="3" customWidth="1"/>
  </cols>
  <sheetData>
    <row r="1" ht="12.75" customHeight="1"/>
    <row r="2" spans="2:24" ht="21.75" customHeight="1">
      <c r="B2" s="39"/>
      <c r="C2" s="40"/>
      <c r="D2" s="40"/>
      <c r="E2" s="40"/>
      <c r="F2" s="36">
        <f>gunler!E2</f>
        <v>2006</v>
      </c>
      <c r="G2" s="36"/>
      <c r="H2" s="36"/>
      <c r="I2" s="1" t="s">
        <v>15</v>
      </c>
      <c r="J2" s="2">
        <f>F2+1</f>
        <v>2007</v>
      </c>
      <c r="K2" s="37" t="s">
        <v>51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8"/>
    </row>
    <row r="3" ht="12.75" customHeight="1"/>
    <row r="4" spans="2:25" ht="12.75" customHeight="1">
      <c r="B4" s="33" t="str">
        <f>"EYLÜL "&amp;$F$2</f>
        <v>EYLÜL 2006</v>
      </c>
      <c r="C4" s="34"/>
      <c r="D4" s="34"/>
      <c r="E4" s="34"/>
      <c r="F4" s="34"/>
      <c r="G4" s="34"/>
      <c r="H4" s="35"/>
      <c r="I4" s="4"/>
      <c r="J4" s="33" t="str">
        <f>"EKİM "&amp;$F$2</f>
        <v>EKİM 2006</v>
      </c>
      <c r="K4" s="34"/>
      <c r="L4" s="34"/>
      <c r="M4" s="34"/>
      <c r="N4" s="34"/>
      <c r="O4" s="34"/>
      <c r="P4" s="35"/>
      <c r="Q4" s="5"/>
      <c r="R4" s="33" t="str">
        <f>"KASIM "&amp;$F$2</f>
        <v>KASIM 2006</v>
      </c>
      <c r="S4" s="34"/>
      <c r="T4" s="34"/>
      <c r="U4" s="34"/>
      <c r="V4" s="34"/>
      <c r="W4" s="34"/>
      <c r="X4" s="35"/>
      <c r="Y4" s="4"/>
    </row>
    <row r="5" spans="2:25" ht="12.75" customHeight="1">
      <c r="B5" s="6" t="s">
        <v>16</v>
      </c>
      <c r="C5" s="6">
        <f>IF(WEEKDAY(DATE($F$2,9,1))=2,1,0)</f>
        <v>0</v>
      </c>
      <c r="D5" s="6">
        <f>IF(AND(C11&gt;0,C11&lt;30),C11+1,0)</f>
        <v>4</v>
      </c>
      <c r="E5" s="6">
        <f>IF(AND(D11&gt;0,D11&lt;30),D11+1,0)</f>
        <v>11</v>
      </c>
      <c r="F5" s="6">
        <f>IF(AND(E11&gt;0,E11&lt;30),E11+1,0)</f>
        <v>18</v>
      </c>
      <c r="G5" s="6">
        <f>IF(AND(F11&gt;0,F11&lt;30),F11+1,0)</f>
        <v>25</v>
      </c>
      <c r="H5" s="6">
        <f>IF(AND(G11&gt;0,G11&lt;30),G11+1,0)</f>
        <v>0</v>
      </c>
      <c r="I5" s="4"/>
      <c r="J5" s="7" t="s">
        <v>16</v>
      </c>
      <c r="K5" s="6">
        <f>IF(WEEKDAY(DATE($F$2,10,1))=2,1,0)</f>
        <v>0</v>
      </c>
      <c r="L5" s="6">
        <f>IF(AND(K11&gt;0,K11&lt;31),K11+1,0)</f>
        <v>2</v>
      </c>
      <c r="M5" s="6">
        <f>IF(AND(L11&gt;0,L11&lt;31),L11+1,0)</f>
        <v>9</v>
      </c>
      <c r="N5" s="6">
        <f>IF(AND(M11&gt;0,M11&lt;31),M11+1,0)</f>
        <v>16</v>
      </c>
      <c r="O5" s="6">
        <f>IF(AND(N11&gt;0,N11&lt;31),N11+1,0)</f>
        <v>23</v>
      </c>
      <c r="P5" s="6">
        <f>IF(AND(O11&gt;0,O11&lt;31),O11+1,0)</f>
        <v>30</v>
      </c>
      <c r="Q5" s="5"/>
      <c r="R5" s="6" t="s">
        <v>16</v>
      </c>
      <c r="S5" s="6">
        <f>IF(WEEKDAY(DATE($F$2,11,1))=2,1,0)</f>
        <v>0</v>
      </c>
      <c r="T5" s="6">
        <f>IF(AND(S11&gt;0,S11&lt;30),S11+1,0)</f>
        <v>6</v>
      </c>
      <c r="U5" s="6">
        <f>IF(AND(T11&gt;0,T11&lt;30),T11+1,0)</f>
        <v>13</v>
      </c>
      <c r="V5" s="6">
        <f>IF(AND(U11&gt;0,U11&lt;30),U11+1,0)</f>
        <v>20</v>
      </c>
      <c r="W5" s="6">
        <f>IF(AND(V11&gt;0,V11&lt;30),V11+1,0)</f>
        <v>27</v>
      </c>
      <c r="X5" s="6">
        <f>IF(AND(W11&gt;0,W11&lt;30),W11+1,0)</f>
        <v>0</v>
      </c>
      <c r="Y5" s="4"/>
    </row>
    <row r="6" spans="2:25" ht="12.75" customHeight="1">
      <c r="B6" s="6" t="s">
        <v>17</v>
      </c>
      <c r="C6" s="6">
        <f>IF(WEEKDAY(DATE($F$2,9,1))=3,1,IF(C5&gt;0,C5+1,0))</f>
        <v>0</v>
      </c>
      <c r="D6" s="6">
        <f aca="true" t="shared" si="0" ref="D6:H11">IF(AND(D5&gt;0,D5&lt;30),D5+1,0)</f>
        <v>5</v>
      </c>
      <c r="E6" s="6">
        <f t="shared" si="0"/>
        <v>12</v>
      </c>
      <c r="F6" s="6">
        <f t="shared" si="0"/>
        <v>19</v>
      </c>
      <c r="G6" s="6">
        <f t="shared" si="0"/>
        <v>26</v>
      </c>
      <c r="H6" s="6">
        <f t="shared" si="0"/>
        <v>0</v>
      </c>
      <c r="I6" s="4"/>
      <c r="J6" s="7" t="s">
        <v>17</v>
      </c>
      <c r="K6" s="6">
        <f>IF(WEEKDAY(DATE($F$2,10,1))=3,1,IF(K5&gt;0,K5+1,0))</f>
        <v>0</v>
      </c>
      <c r="L6" s="6">
        <f aca="true" t="shared" si="1" ref="L6:P11">IF(AND(L5&gt;0,L5&lt;31),L5+1,0)</f>
        <v>3</v>
      </c>
      <c r="M6" s="6">
        <f t="shared" si="1"/>
        <v>10</v>
      </c>
      <c r="N6" s="6">
        <f t="shared" si="1"/>
        <v>17</v>
      </c>
      <c r="O6" s="6">
        <f t="shared" si="1"/>
        <v>24</v>
      </c>
      <c r="P6" s="6">
        <f t="shared" si="1"/>
        <v>31</v>
      </c>
      <c r="Q6" s="4"/>
      <c r="R6" s="6" t="s">
        <v>17</v>
      </c>
      <c r="S6" s="6">
        <f>IF(WEEKDAY(DATE($F$2,11,1))=3,1,IF(S5&gt;0,S5+1,0))</f>
        <v>0</v>
      </c>
      <c r="T6" s="6">
        <f aca="true" t="shared" si="2" ref="T6:X11">IF(AND(T5&gt;0,T5&lt;30),T5+1,0)</f>
        <v>7</v>
      </c>
      <c r="U6" s="6">
        <f t="shared" si="2"/>
        <v>14</v>
      </c>
      <c r="V6" s="6">
        <f t="shared" si="2"/>
        <v>21</v>
      </c>
      <c r="W6" s="6">
        <f t="shared" si="2"/>
        <v>28</v>
      </c>
      <c r="X6" s="6">
        <f t="shared" si="2"/>
        <v>0</v>
      </c>
      <c r="Y6" s="4"/>
    </row>
    <row r="7" spans="2:25" ht="12.75" customHeight="1">
      <c r="B7" s="6" t="s">
        <v>18</v>
      </c>
      <c r="C7" s="6">
        <f>IF(WEEKDAY(DATE($F$2,9,1))=4,1,IF(C6&gt;0,C6+1,0))</f>
        <v>0</v>
      </c>
      <c r="D7" s="6">
        <f t="shared" si="0"/>
        <v>6</v>
      </c>
      <c r="E7" s="6">
        <f t="shared" si="0"/>
        <v>13</v>
      </c>
      <c r="F7" s="6">
        <f t="shared" si="0"/>
        <v>20</v>
      </c>
      <c r="G7" s="6">
        <f t="shared" si="0"/>
        <v>27</v>
      </c>
      <c r="H7" s="6">
        <f t="shared" si="0"/>
        <v>0</v>
      </c>
      <c r="I7" s="4"/>
      <c r="J7" s="7" t="s">
        <v>18</v>
      </c>
      <c r="K7" s="6">
        <f>IF(WEEKDAY(DATE($F$2,10,1))=4,1,IF(K6&gt;0,K6+1,0))</f>
        <v>0</v>
      </c>
      <c r="L7" s="6">
        <f t="shared" si="1"/>
        <v>4</v>
      </c>
      <c r="M7" s="6">
        <f t="shared" si="1"/>
        <v>11</v>
      </c>
      <c r="N7" s="6">
        <f t="shared" si="1"/>
        <v>18</v>
      </c>
      <c r="O7" s="6">
        <f t="shared" si="1"/>
        <v>25</v>
      </c>
      <c r="P7" s="6">
        <f t="shared" si="1"/>
        <v>0</v>
      </c>
      <c r="Q7" s="4"/>
      <c r="R7" s="6" t="s">
        <v>18</v>
      </c>
      <c r="S7" s="6">
        <f>IF(WEEKDAY(DATE($F$2,11,1))=4,1,IF(S6&gt;0,S6+1,0))</f>
        <v>1</v>
      </c>
      <c r="T7" s="6">
        <f t="shared" si="2"/>
        <v>8</v>
      </c>
      <c r="U7" s="6">
        <f t="shared" si="2"/>
        <v>15</v>
      </c>
      <c r="V7" s="6">
        <f t="shared" si="2"/>
        <v>22</v>
      </c>
      <c r="W7" s="6">
        <f t="shared" si="2"/>
        <v>29</v>
      </c>
      <c r="X7" s="6">
        <f t="shared" si="2"/>
        <v>0</v>
      </c>
      <c r="Y7" s="4"/>
    </row>
    <row r="8" spans="2:25" ht="12.75" customHeight="1">
      <c r="B8" s="6" t="s">
        <v>19</v>
      </c>
      <c r="C8" s="6">
        <f>IF(WEEKDAY(DATE($F$2,9,1))=5,1,IF(C7&gt;0,C7+1,0))</f>
        <v>0</v>
      </c>
      <c r="D8" s="6">
        <f t="shared" si="0"/>
        <v>7</v>
      </c>
      <c r="E8" s="6">
        <f t="shared" si="0"/>
        <v>14</v>
      </c>
      <c r="F8" s="6">
        <f t="shared" si="0"/>
        <v>21</v>
      </c>
      <c r="G8" s="6">
        <f t="shared" si="0"/>
        <v>28</v>
      </c>
      <c r="H8" s="6">
        <f t="shared" si="0"/>
        <v>0</v>
      </c>
      <c r="I8" s="4"/>
      <c r="J8" s="7" t="s">
        <v>19</v>
      </c>
      <c r="K8" s="6">
        <f>IF(WEEKDAY(DATE($F$2,10,1))=5,1,IF(K7&gt;0,K7+1,0))</f>
        <v>0</v>
      </c>
      <c r="L8" s="6">
        <f t="shared" si="1"/>
        <v>5</v>
      </c>
      <c r="M8" s="6">
        <f t="shared" si="1"/>
        <v>12</v>
      </c>
      <c r="N8" s="6">
        <f t="shared" si="1"/>
        <v>19</v>
      </c>
      <c r="O8" s="6">
        <f t="shared" si="1"/>
        <v>26</v>
      </c>
      <c r="P8" s="6">
        <f t="shared" si="1"/>
        <v>0</v>
      </c>
      <c r="Q8" s="4"/>
      <c r="R8" s="6" t="s">
        <v>19</v>
      </c>
      <c r="S8" s="6">
        <f>IF(WEEKDAY(DATE($F$2,11,1))=5,1,IF(S7&gt;0,S7+1,0))</f>
        <v>2</v>
      </c>
      <c r="T8" s="6">
        <f t="shared" si="2"/>
        <v>9</v>
      </c>
      <c r="U8" s="6">
        <f t="shared" si="2"/>
        <v>16</v>
      </c>
      <c r="V8" s="6">
        <f t="shared" si="2"/>
        <v>23</v>
      </c>
      <c r="W8" s="6">
        <f t="shared" si="2"/>
        <v>30</v>
      </c>
      <c r="X8" s="6">
        <f t="shared" si="2"/>
        <v>0</v>
      </c>
      <c r="Y8" s="4"/>
    </row>
    <row r="9" spans="2:25" ht="12.75" customHeight="1">
      <c r="B9" s="6" t="s">
        <v>20</v>
      </c>
      <c r="C9" s="6">
        <f>IF(WEEKDAY(DATE($F$2,9,1))=6,1,IF(C8&gt;0,C8+1,0))</f>
        <v>1</v>
      </c>
      <c r="D9" s="6">
        <f t="shared" si="0"/>
        <v>8</v>
      </c>
      <c r="E9" s="6">
        <f t="shared" si="0"/>
        <v>15</v>
      </c>
      <c r="F9" s="6">
        <f t="shared" si="0"/>
        <v>22</v>
      </c>
      <c r="G9" s="6">
        <f t="shared" si="0"/>
        <v>29</v>
      </c>
      <c r="H9" s="6">
        <f t="shared" si="0"/>
        <v>0</v>
      </c>
      <c r="I9" s="4"/>
      <c r="J9" s="7" t="s">
        <v>20</v>
      </c>
      <c r="K9" s="6">
        <f>IF(WEEKDAY(DATE($F$2,10,1))=6,1,IF(K8&gt;0,K8+1,0))</f>
        <v>0</v>
      </c>
      <c r="L9" s="6">
        <f t="shared" si="1"/>
        <v>6</v>
      </c>
      <c r="M9" s="6">
        <f t="shared" si="1"/>
        <v>13</v>
      </c>
      <c r="N9" s="6">
        <f t="shared" si="1"/>
        <v>20</v>
      </c>
      <c r="O9" s="6">
        <f t="shared" si="1"/>
        <v>27</v>
      </c>
      <c r="P9" s="6">
        <f t="shared" si="1"/>
        <v>0</v>
      </c>
      <c r="Q9" s="4"/>
      <c r="R9" s="6" t="s">
        <v>20</v>
      </c>
      <c r="S9" s="6">
        <f>IF(WEEKDAY(DATE($F$2,11,1))=6,1,IF(S8&gt;0,S8+1,0))</f>
        <v>3</v>
      </c>
      <c r="T9" s="6">
        <f t="shared" si="2"/>
        <v>10</v>
      </c>
      <c r="U9" s="6">
        <f t="shared" si="2"/>
        <v>17</v>
      </c>
      <c r="V9" s="6">
        <f t="shared" si="2"/>
        <v>24</v>
      </c>
      <c r="W9" s="6">
        <f t="shared" si="2"/>
        <v>0</v>
      </c>
      <c r="X9" s="6">
        <f t="shared" si="2"/>
        <v>0</v>
      </c>
      <c r="Y9" s="4"/>
    </row>
    <row r="10" spans="2:25" ht="12.75" customHeight="1">
      <c r="B10" s="8" t="s">
        <v>21</v>
      </c>
      <c r="C10" s="8">
        <f>IF(WEEKDAY(DATE($F$2,9,1))=7,1,IF(C9&gt;0,C9+1,0))</f>
        <v>2</v>
      </c>
      <c r="D10" s="8">
        <f t="shared" si="0"/>
        <v>9</v>
      </c>
      <c r="E10" s="8">
        <f t="shared" si="0"/>
        <v>16</v>
      </c>
      <c r="F10" s="8">
        <f t="shared" si="0"/>
        <v>23</v>
      </c>
      <c r="G10" s="8">
        <f t="shared" si="0"/>
        <v>30</v>
      </c>
      <c r="H10" s="8">
        <f t="shared" si="0"/>
        <v>0</v>
      </c>
      <c r="I10" s="4"/>
      <c r="J10" s="9" t="s">
        <v>21</v>
      </c>
      <c r="K10" s="8">
        <f>IF(WEEKDAY(DATE($F$2,10,1))=7,1,IF(K9&gt;0,K9+1,0))</f>
        <v>0</v>
      </c>
      <c r="L10" s="8">
        <f t="shared" si="1"/>
        <v>7</v>
      </c>
      <c r="M10" s="8">
        <f t="shared" si="1"/>
        <v>14</v>
      </c>
      <c r="N10" s="8">
        <f t="shared" si="1"/>
        <v>21</v>
      </c>
      <c r="O10" s="8">
        <f t="shared" si="1"/>
        <v>28</v>
      </c>
      <c r="P10" s="8">
        <f t="shared" si="1"/>
        <v>0</v>
      </c>
      <c r="Q10" s="4"/>
      <c r="R10" s="8" t="s">
        <v>21</v>
      </c>
      <c r="S10" s="8">
        <f>IF(WEEKDAY(DATE($F$2,11,1))=7,1,IF(S9&gt;0,S9+1,0))</f>
        <v>4</v>
      </c>
      <c r="T10" s="8">
        <f t="shared" si="2"/>
        <v>11</v>
      </c>
      <c r="U10" s="8">
        <f t="shared" si="2"/>
        <v>18</v>
      </c>
      <c r="V10" s="8">
        <f t="shared" si="2"/>
        <v>25</v>
      </c>
      <c r="W10" s="8">
        <f t="shared" si="2"/>
        <v>0</v>
      </c>
      <c r="X10" s="8">
        <f t="shared" si="2"/>
        <v>0</v>
      </c>
      <c r="Y10" s="4"/>
    </row>
    <row r="11" spans="2:25" ht="12.75" customHeight="1">
      <c r="B11" s="8" t="s">
        <v>22</v>
      </c>
      <c r="C11" s="8">
        <f>IF(WEEKDAY(DATE($F$2,9,1))=1,1,IF(C10&gt;0,C10+1,0))</f>
        <v>3</v>
      </c>
      <c r="D11" s="8">
        <f t="shared" si="0"/>
        <v>10</v>
      </c>
      <c r="E11" s="8">
        <f t="shared" si="0"/>
        <v>17</v>
      </c>
      <c r="F11" s="8">
        <f t="shared" si="0"/>
        <v>24</v>
      </c>
      <c r="G11" s="8">
        <f t="shared" si="0"/>
        <v>0</v>
      </c>
      <c r="H11" s="8">
        <f t="shared" si="0"/>
        <v>0</v>
      </c>
      <c r="I11" s="4"/>
      <c r="J11" s="9" t="s">
        <v>22</v>
      </c>
      <c r="K11" s="8">
        <f>IF(WEEKDAY(DATE($F$2,10,1))=1,1,IF(K10&gt;0,K10+1,0))</f>
        <v>1</v>
      </c>
      <c r="L11" s="8">
        <f t="shared" si="1"/>
        <v>8</v>
      </c>
      <c r="M11" s="8">
        <f t="shared" si="1"/>
        <v>15</v>
      </c>
      <c r="N11" s="8">
        <f t="shared" si="1"/>
        <v>22</v>
      </c>
      <c r="O11" s="8">
        <f t="shared" si="1"/>
        <v>29</v>
      </c>
      <c r="P11" s="8">
        <f t="shared" si="1"/>
        <v>0</v>
      </c>
      <c r="Q11" s="4"/>
      <c r="R11" s="8" t="s">
        <v>22</v>
      </c>
      <c r="S11" s="8">
        <f>IF(WEEKDAY(DATE($F$2,11,1))=1,1,IF(S10&gt;0,S10+1,0))</f>
        <v>5</v>
      </c>
      <c r="T11" s="8">
        <f t="shared" si="2"/>
        <v>12</v>
      </c>
      <c r="U11" s="8">
        <f t="shared" si="2"/>
        <v>19</v>
      </c>
      <c r="V11" s="8">
        <f t="shared" si="2"/>
        <v>26</v>
      </c>
      <c r="W11" s="8">
        <f t="shared" si="2"/>
        <v>0</v>
      </c>
      <c r="X11" s="8">
        <f t="shared" si="2"/>
        <v>0</v>
      </c>
      <c r="Y11" s="4"/>
    </row>
    <row r="12" spans="2:25" ht="12.7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2:25" ht="12.75" customHeight="1">
      <c r="B13" s="33" t="str">
        <f>"ARALIK "&amp;$F$2</f>
        <v>ARALIK 2006</v>
      </c>
      <c r="C13" s="34"/>
      <c r="D13" s="34"/>
      <c r="E13" s="34"/>
      <c r="F13" s="34"/>
      <c r="G13" s="34"/>
      <c r="H13" s="35"/>
      <c r="I13" s="4"/>
      <c r="J13" s="33" t="str">
        <f>"OCAK "&amp;$F$2+1</f>
        <v>OCAK 2007</v>
      </c>
      <c r="K13" s="34"/>
      <c r="L13" s="34"/>
      <c r="M13" s="34"/>
      <c r="N13" s="34"/>
      <c r="O13" s="34"/>
      <c r="P13" s="35"/>
      <c r="Q13" s="4"/>
      <c r="R13" s="33" t="str">
        <f>"ŞUBAT "&amp;$F$2+1</f>
        <v>ŞUBAT 2007</v>
      </c>
      <c r="S13" s="34"/>
      <c r="T13" s="34"/>
      <c r="U13" s="34"/>
      <c r="V13" s="34"/>
      <c r="W13" s="34"/>
      <c r="X13" s="35"/>
      <c r="Y13" s="5">
        <f>MOD($F$2+1,4)</f>
        <v>3</v>
      </c>
    </row>
    <row r="14" spans="2:25" ht="12.75" customHeight="1">
      <c r="B14" s="6" t="s">
        <v>16</v>
      </c>
      <c r="C14" s="6">
        <f>IF(WEEKDAY(DATE($F$2,12,1))=2,1,0)</f>
        <v>0</v>
      </c>
      <c r="D14" s="6">
        <f>IF(AND(C20&gt;0,C20&lt;31),C20+1,0)</f>
        <v>4</v>
      </c>
      <c r="E14" s="6">
        <f>IF(AND(D20&gt;0,D20&lt;31),D20+1,0)</f>
        <v>11</v>
      </c>
      <c r="F14" s="6">
        <f>IF(AND(E20&gt;0,E20&lt;31),E20+1,0)</f>
        <v>18</v>
      </c>
      <c r="G14" s="6">
        <f>IF(AND(F20&gt;0,F20&lt;31),F20+1,0)</f>
        <v>25</v>
      </c>
      <c r="H14" s="6">
        <f>IF(AND(G20&gt;0,G20&lt;31),G20+1,0)</f>
        <v>0</v>
      </c>
      <c r="I14" s="4"/>
      <c r="J14" s="7" t="s">
        <v>16</v>
      </c>
      <c r="K14" s="6">
        <f>IF(WEEKDAY(DATE($F$2+1,1,1))=2,1,0)</f>
        <v>1</v>
      </c>
      <c r="L14" s="6">
        <f>IF(AND(K20&gt;0,K20&lt;31),K20+1,0)</f>
        <v>8</v>
      </c>
      <c r="M14" s="6">
        <f>IF(AND(L20&gt;0,L20&lt;31),L20+1,0)</f>
        <v>15</v>
      </c>
      <c r="N14" s="6">
        <f>IF(AND(M20&gt;0,M20&lt;31),M20+1,0)</f>
        <v>22</v>
      </c>
      <c r="O14" s="6">
        <f>IF(AND(N20&gt;0,N20&lt;31),N20+1,0)</f>
        <v>29</v>
      </c>
      <c r="P14" s="6">
        <f>IF(AND(O20&gt;0,O20&lt;31),O20+1,0)</f>
        <v>0</v>
      </c>
      <c r="Q14" s="4"/>
      <c r="R14" s="6" t="s">
        <v>16</v>
      </c>
      <c r="S14" s="6">
        <f>IF(WEEKDAY(DATE($F$2+1,2,1))=2,1,0)</f>
        <v>0</v>
      </c>
      <c r="T14" s="6">
        <f>IF(AND(S20&gt;0,S20&lt;Y14),S20+1,0)</f>
        <v>5</v>
      </c>
      <c r="U14" s="6">
        <f>IF(AND(T20&gt;0,T20&lt;Y14),T20+1,0)</f>
        <v>12</v>
      </c>
      <c r="V14" s="6">
        <f>IF(AND(U20&gt;0,U20&lt;Y14),U20+1,0)</f>
        <v>19</v>
      </c>
      <c r="W14" s="6">
        <f>IF(AND(V20&gt;0,V20&lt;Y14),V20+1,0)</f>
        <v>26</v>
      </c>
      <c r="X14" s="6">
        <f>IF(AND(W20&gt;0,W20&lt;Y14),W20+1,0)</f>
        <v>0</v>
      </c>
      <c r="Y14" s="5">
        <f>IF(Y13=0,29,28)</f>
        <v>28</v>
      </c>
    </row>
    <row r="15" spans="2:25" ht="12.75" customHeight="1">
      <c r="B15" s="6" t="s">
        <v>17</v>
      </c>
      <c r="C15" s="6">
        <f>IF(WEEKDAY(DATE($F$2,12,1))=3,1,IF(C14&gt;0,C14+1,0))</f>
        <v>0</v>
      </c>
      <c r="D15" s="6">
        <f aca="true" t="shared" si="3" ref="D15:H20">IF(AND(D14&gt;0,D14&lt;31),D14+1,0)</f>
        <v>5</v>
      </c>
      <c r="E15" s="6">
        <f t="shared" si="3"/>
        <v>12</v>
      </c>
      <c r="F15" s="6">
        <f t="shared" si="3"/>
        <v>19</v>
      </c>
      <c r="G15" s="6">
        <f t="shared" si="3"/>
        <v>26</v>
      </c>
      <c r="H15" s="6">
        <f t="shared" si="3"/>
        <v>0</v>
      </c>
      <c r="I15" s="4"/>
      <c r="J15" s="7" t="s">
        <v>17</v>
      </c>
      <c r="K15" s="6">
        <f>IF(WEEKDAY(DATE($F$2+1,1,1))=3,1,IF(K14&gt;0,K14+1,0))</f>
        <v>2</v>
      </c>
      <c r="L15" s="6">
        <f aca="true" t="shared" si="4" ref="L15:P20">IF(AND(L14&gt;0,L14&lt;31),L14+1,0)</f>
        <v>9</v>
      </c>
      <c r="M15" s="6">
        <f t="shared" si="4"/>
        <v>16</v>
      </c>
      <c r="N15" s="6">
        <f t="shared" si="4"/>
        <v>23</v>
      </c>
      <c r="O15" s="6">
        <f t="shared" si="4"/>
        <v>30</v>
      </c>
      <c r="P15" s="6">
        <f t="shared" si="4"/>
        <v>0</v>
      </c>
      <c r="Q15" s="4"/>
      <c r="R15" s="6" t="s">
        <v>17</v>
      </c>
      <c r="S15" s="6">
        <f>IF(WEEKDAY(DATE($F$2+1,2,1))=3,1,IF(S14&gt;0,S14+1,0))</f>
        <v>0</v>
      </c>
      <c r="T15" s="6">
        <f>IF(AND(T14&gt;0,T14&lt;Y14),T14+1,0)</f>
        <v>6</v>
      </c>
      <c r="U15" s="6">
        <f>IF(AND(U14&gt;0,U14&lt;Y14),U14+1,0)</f>
        <v>13</v>
      </c>
      <c r="V15" s="6">
        <f>IF(AND(V14&gt;0,V14&lt;Y14),V14+1,0)</f>
        <v>20</v>
      </c>
      <c r="W15" s="6">
        <f>IF(AND(W14&gt;0,W14&lt;Y14),W14+1,0)</f>
        <v>27</v>
      </c>
      <c r="X15" s="6">
        <f>IF(AND(X14&gt;0,X14&lt;Y14),X14+1,0)</f>
        <v>0</v>
      </c>
      <c r="Y15" s="4"/>
    </row>
    <row r="16" spans="2:25" ht="12.75" customHeight="1">
      <c r="B16" s="6" t="s">
        <v>18</v>
      </c>
      <c r="C16" s="6">
        <f>IF(WEEKDAY(DATE($F$2,12,1))=4,1,IF(C15&gt;0,C15+1,0))</f>
        <v>0</v>
      </c>
      <c r="D16" s="6">
        <f t="shared" si="3"/>
        <v>6</v>
      </c>
      <c r="E16" s="6">
        <f t="shared" si="3"/>
        <v>13</v>
      </c>
      <c r="F16" s="6">
        <f t="shared" si="3"/>
        <v>20</v>
      </c>
      <c r="G16" s="6">
        <f t="shared" si="3"/>
        <v>27</v>
      </c>
      <c r="H16" s="6">
        <f t="shared" si="3"/>
        <v>0</v>
      </c>
      <c r="I16" s="4"/>
      <c r="J16" s="7" t="s">
        <v>18</v>
      </c>
      <c r="K16" s="6">
        <f>IF(WEEKDAY(DATE($F$2+1,1,1))=4,1,IF(K15&gt;0,K15+1,0))</f>
        <v>3</v>
      </c>
      <c r="L16" s="6">
        <f t="shared" si="4"/>
        <v>10</v>
      </c>
      <c r="M16" s="6">
        <f t="shared" si="4"/>
        <v>17</v>
      </c>
      <c r="N16" s="6">
        <f t="shared" si="4"/>
        <v>24</v>
      </c>
      <c r="O16" s="6">
        <f t="shared" si="4"/>
        <v>31</v>
      </c>
      <c r="P16" s="6">
        <f t="shared" si="4"/>
        <v>0</v>
      </c>
      <c r="Q16" s="4"/>
      <c r="R16" s="6" t="s">
        <v>18</v>
      </c>
      <c r="S16" s="6">
        <f>IF(WEEKDAY(DATE($F$2+1,2,1))=4,1,IF(S15&gt;0,S15+1,0))</f>
        <v>0</v>
      </c>
      <c r="T16" s="6">
        <f>IF(AND(T15&gt;0,T15&lt;Y14),T15+1,0)</f>
        <v>7</v>
      </c>
      <c r="U16" s="6">
        <f>IF(AND(U15&gt;0,U15&lt;Y14),U15+1,0)</f>
        <v>14</v>
      </c>
      <c r="V16" s="6">
        <f>IF(AND(V15&gt;0,V15&lt;Y14),V15+1,0)</f>
        <v>21</v>
      </c>
      <c r="W16" s="6">
        <f>IF(AND(W15&gt;0,W15&lt;Y14),W15+1,0)</f>
        <v>28</v>
      </c>
      <c r="X16" s="6">
        <f>IF(AND(X15&gt;0,X15&lt;Y14),X15+1,0)</f>
        <v>0</v>
      </c>
      <c r="Y16" s="4"/>
    </row>
    <row r="17" spans="2:25" ht="12.75" customHeight="1">
      <c r="B17" s="6" t="s">
        <v>19</v>
      </c>
      <c r="C17" s="6">
        <f>IF(WEEKDAY(DATE($F$2,12,1))=5,1,IF(C16&gt;0,C16+1,0))</f>
        <v>0</v>
      </c>
      <c r="D17" s="6">
        <f t="shared" si="3"/>
        <v>7</v>
      </c>
      <c r="E17" s="6">
        <f t="shared" si="3"/>
        <v>14</v>
      </c>
      <c r="F17" s="6">
        <f t="shared" si="3"/>
        <v>21</v>
      </c>
      <c r="G17" s="6">
        <f t="shared" si="3"/>
        <v>28</v>
      </c>
      <c r="H17" s="6">
        <f t="shared" si="3"/>
        <v>0</v>
      </c>
      <c r="I17" s="4"/>
      <c r="J17" s="7" t="s">
        <v>19</v>
      </c>
      <c r="K17" s="6">
        <f>IF(WEEKDAY(DATE($F$2+1,1,1))=5,1,IF(K16&gt;0,K16+1,0))</f>
        <v>4</v>
      </c>
      <c r="L17" s="6">
        <f t="shared" si="4"/>
        <v>11</v>
      </c>
      <c r="M17" s="6">
        <f t="shared" si="4"/>
        <v>18</v>
      </c>
      <c r="N17" s="6">
        <f t="shared" si="4"/>
        <v>25</v>
      </c>
      <c r="O17" s="6">
        <f t="shared" si="4"/>
        <v>0</v>
      </c>
      <c r="P17" s="6">
        <f t="shared" si="4"/>
        <v>0</v>
      </c>
      <c r="Q17" s="4"/>
      <c r="R17" s="6" t="s">
        <v>19</v>
      </c>
      <c r="S17" s="6">
        <f>IF(WEEKDAY(DATE($F$2+1,2,1))=5,1,IF(S16&gt;0,S16+1,0))</f>
        <v>1</v>
      </c>
      <c r="T17" s="6">
        <f>IF(AND(T16&gt;0,T16&lt;Y14),T16+1,0)</f>
        <v>8</v>
      </c>
      <c r="U17" s="6">
        <f>IF(AND(U16&gt;0,U16&lt;Y14),U16+1,0)</f>
        <v>15</v>
      </c>
      <c r="V17" s="6">
        <f>IF(AND(V16&gt;0,V16&lt;Y14),V16+1,0)</f>
        <v>22</v>
      </c>
      <c r="W17" s="6">
        <f>IF(AND(W16&gt;0,W16&lt;Y14),W16+1,0)</f>
        <v>0</v>
      </c>
      <c r="X17" s="6">
        <f>IF(AND(X16&gt;0,X16&lt;Y14),X16+1,0)</f>
        <v>0</v>
      </c>
      <c r="Y17" s="4"/>
    </row>
    <row r="18" spans="2:25" ht="12.75" customHeight="1">
      <c r="B18" s="6" t="s">
        <v>20</v>
      </c>
      <c r="C18" s="6">
        <f>IF(WEEKDAY(DATE($F$2,12,1))=6,1,IF(C17&gt;0,C17+1,0))</f>
        <v>1</v>
      </c>
      <c r="D18" s="6">
        <f t="shared" si="3"/>
        <v>8</v>
      </c>
      <c r="E18" s="6">
        <f t="shared" si="3"/>
        <v>15</v>
      </c>
      <c r="F18" s="6">
        <f t="shared" si="3"/>
        <v>22</v>
      </c>
      <c r="G18" s="6">
        <f t="shared" si="3"/>
        <v>29</v>
      </c>
      <c r="H18" s="6">
        <f t="shared" si="3"/>
        <v>0</v>
      </c>
      <c r="I18" s="4"/>
      <c r="J18" s="7" t="s">
        <v>20</v>
      </c>
      <c r="K18" s="6">
        <f>IF(WEEKDAY(DATE($F$2+1,1,1))=6,1,IF(K17&gt;0,K17+1,0))</f>
        <v>5</v>
      </c>
      <c r="L18" s="6">
        <f t="shared" si="4"/>
        <v>12</v>
      </c>
      <c r="M18" s="6">
        <f t="shared" si="4"/>
        <v>19</v>
      </c>
      <c r="N18" s="6">
        <f t="shared" si="4"/>
        <v>26</v>
      </c>
      <c r="O18" s="6">
        <f t="shared" si="4"/>
        <v>0</v>
      </c>
      <c r="P18" s="6">
        <f t="shared" si="4"/>
        <v>0</v>
      </c>
      <c r="Q18" s="4"/>
      <c r="R18" s="6" t="s">
        <v>20</v>
      </c>
      <c r="S18" s="6">
        <f>IF(WEEKDAY(DATE($F$2+1,2,1))=6,1,IF(S17&gt;0,S17+1,0))</f>
        <v>2</v>
      </c>
      <c r="T18" s="6">
        <f>IF(AND(T17&gt;0,T17&lt;Y14),T17+1,0)</f>
        <v>9</v>
      </c>
      <c r="U18" s="6">
        <f>IF(AND(U17&gt;0,U17&lt;Y14),U17+1,0)</f>
        <v>16</v>
      </c>
      <c r="V18" s="6">
        <f>IF(AND(V17&gt;0,V17&lt;Y14),V17+1,0)</f>
        <v>23</v>
      </c>
      <c r="W18" s="6">
        <f>IF(AND(W17&gt;0,W17&lt;Y14),W17+1,0)</f>
        <v>0</v>
      </c>
      <c r="X18" s="6">
        <f>IF(AND(X17&gt;0,X17&lt;Y14),X17+1,0)</f>
        <v>0</v>
      </c>
      <c r="Y18" s="4"/>
    </row>
    <row r="19" spans="2:25" ht="12.75" customHeight="1">
      <c r="B19" s="8" t="s">
        <v>21</v>
      </c>
      <c r="C19" s="8">
        <f>IF(WEEKDAY(DATE($F$2,12,1))=7,1,IF(C18&gt;0,C18+1,0))</f>
        <v>2</v>
      </c>
      <c r="D19" s="8">
        <f t="shared" si="3"/>
        <v>9</v>
      </c>
      <c r="E19" s="8">
        <f t="shared" si="3"/>
        <v>16</v>
      </c>
      <c r="F19" s="8">
        <f t="shared" si="3"/>
        <v>23</v>
      </c>
      <c r="G19" s="8">
        <f t="shared" si="3"/>
        <v>30</v>
      </c>
      <c r="H19" s="8">
        <f t="shared" si="3"/>
        <v>0</v>
      </c>
      <c r="I19" s="4"/>
      <c r="J19" s="9" t="s">
        <v>21</v>
      </c>
      <c r="K19" s="8">
        <f>IF(WEEKDAY(DATE($F$2+1,1,1))=7,1,IF(K18&gt;0,K18+1,0))</f>
        <v>6</v>
      </c>
      <c r="L19" s="8">
        <f t="shared" si="4"/>
        <v>13</v>
      </c>
      <c r="M19" s="8">
        <f t="shared" si="4"/>
        <v>20</v>
      </c>
      <c r="N19" s="8">
        <f t="shared" si="4"/>
        <v>27</v>
      </c>
      <c r="O19" s="8">
        <f t="shared" si="4"/>
        <v>0</v>
      </c>
      <c r="P19" s="8">
        <f t="shared" si="4"/>
        <v>0</v>
      </c>
      <c r="Q19" s="4"/>
      <c r="R19" s="8" t="s">
        <v>21</v>
      </c>
      <c r="S19" s="8">
        <f>IF(WEEKDAY(DATE($F$2+1,2,1))=7,1,IF(S18&gt;0,S18+1,0))</f>
        <v>3</v>
      </c>
      <c r="T19" s="8">
        <f>IF(AND(T18&gt;0,T18&lt;Y14),T18+1,0)</f>
        <v>10</v>
      </c>
      <c r="U19" s="8">
        <f>IF(AND(U18&gt;0,U18&lt;Y14),U18+1,0)</f>
        <v>17</v>
      </c>
      <c r="V19" s="8">
        <f>IF(AND(V18&gt;0,V18&lt;Y14),V18+1,0)</f>
        <v>24</v>
      </c>
      <c r="W19" s="8">
        <f>IF(AND(W18&gt;0,W18&lt;Y14),W18+1,0)</f>
        <v>0</v>
      </c>
      <c r="X19" s="8">
        <f>IF(AND(X18&gt;0,X18&lt;Y14),X18+1,0)</f>
        <v>0</v>
      </c>
      <c r="Y19" s="4"/>
    </row>
    <row r="20" spans="2:25" ht="12.75" customHeight="1">
      <c r="B20" s="8" t="s">
        <v>22</v>
      </c>
      <c r="C20" s="8">
        <f>IF(WEEKDAY(DATE($F$2,12,1))=1,1,IF(C19&gt;0,C19+1,0))</f>
        <v>3</v>
      </c>
      <c r="D20" s="8">
        <f t="shared" si="3"/>
        <v>10</v>
      </c>
      <c r="E20" s="8">
        <f t="shared" si="3"/>
        <v>17</v>
      </c>
      <c r="F20" s="8">
        <f t="shared" si="3"/>
        <v>24</v>
      </c>
      <c r="G20" s="8">
        <f t="shared" si="3"/>
        <v>31</v>
      </c>
      <c r="H20" s="8">
        <f t="shared" si="3"/>
        <v>0</v>
      </c>
      <c r="I20" s="4"/>
      <c r="J20" s="9" t="s">
        <v>22</v>
      </c>
      <c r="K20" s="8">
        <f>IF(WEEKDAY(DATE($F$2+1,1,1))=1,1,IF(K19&gt;0,K19+1,0))</f>
        <v>7</v>
      </c>
      <c r="L20" s="8">
        <f t="shared" si="4"/>
        <v>14</v>
      </c>
      <c r="M20" s="8">
        <f t="shared" si="4"/>
        <v>21</v>
      </c>
      <c r="N20" s="8">
        <f t="shared" si="4"/>
        <v>28</v>
      </c>
      <c r="O20" s="8">
        <f t="shared" si="4"/>
        <v>0</v>
      </c>
      <c r="P20" s="8">
        <f t="shared" si="4"/>
        <v>0</v>
      </c>
      <c r="Q20" s="4"/>
      <c r="R20" s="8" t="s">
        <v>22</v>
      </c>
      <c r="S20" s="8">
        <f>IF(WEEKDAY(DATE($F$2+1,2,1))=1,1,IF(S19&gt;0,S19+1,0))</f>
        <v>4</v>
      </c>
      <c r="T20" s="8">
        <f>IF(AND(T19&gt;0,T19&lt;Y14),T19+1,0)</f>
        <v>11</v>
      </c>
      <c r="U20" s="8">
        <f>IF(AND(U19&gt;0,U19&lt;Y14),U19+1,0)</f>
        <v>18</v>
      </c>
      <c r="V20" s="8">
        <f>IF(AND(V19&gt;0,V19&lt;Y14),V19+1,0)</f>
        <v>25</v>
      </c>
      <c r="W20" s="8">
        <f>IF(AND(W19&gt;0,W19&lt;Y14),W19+1,0)</f>
        <v>0</v>
      </c>
      <c r="X20" s="8">
        <f>IF(AND(X19&gt;0,X19&lt;Y14),X19+1,0)</f>
        <v>0</v>
      </c>
      <c r="Y20" s="4"/>
    </row>
    <row r="21" spans="2:25" ht="12.7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2:25" ht="12.75" customHeight="1">
      <c r="B22" s="33" t="str">
        <f>"MART "&amp;$F$2+1</f>
        <v>MART 2007</v>
      </c>
      <c r="C22" s="34"/>
      <c r="D22" s="34"/>
      <c r="E22" s="34"/>
      <c r="F22" s="34"/>
      <c r="G22" s="34"/>
      <c r="H22" s="35"/>
      <c r="I22" s="4"/>
      <c r="J22" s="33" t="str">
        <f>"NİSAN "&amp;$F$2+1</f>
        <v>NİSAN 2007</v>
      </c>
      <c r="K22" s="34"/>
      <c r="L22" s="34"/>
      <c r="M22" s="34"/>
      <c r="N22" s="34"/>
      <c r="O22" s="34"/>
      <c r="P22" s="35"/>
      <c r="Q22" s="4"/>
      <c r="R22" s="33" t="str">
        <f>"MAYIS "&amp;$F$2+1</f>
        <v>MAYIS 2007</v>
      </c>
      <c r="S22" s="34"/>
      <c r="T22" s="34"/>
      <c r="U22" s="34"/>
      <c r="V22" s="34"/>
      <c r="W22" s="34"/>
      <c r="X22" s="35"/>
      <c r="Y22" s="4"/>
    </row>
    <row r="23" spans="2:25" ht="12.75" customHeight="1">
      <c r="B23" s="6" t="s">
        <v>16</v>
      </c>
      <c r="C23" s="6">
        <f>IF(WEEKDAY(DATE($F$2+1,3,1))=2,1,0)</f>
        <v>0</v>
      </c>
      <c r="D23" s="6">
        <f>IF(AND(C29&gt;0,C29&lt;31),C29+1,0)</f>
        <v>5</v>
      </c>
      <c r="E23" s="6">
        <f>IF(AND(D29&gt;0,D29&lt;31),D29+1,0)</f>
        <v>12</v>
      </c>
      <c r="F23" s="6">
        <f>IF(AND(E29&gt;0,E29&lt;31),E29+1,0)</f>
        <v>19</v>
      </c>
      <c r="G23" s="6">
        <f>IF(AND(F29&gt;0,F29&lt;31),F29+1,0)</f>
        <v>26</v>
      </c>
      <c r="H23" s="6">
        <f>IF(AND(G29&gt;0,G29&lt;31),G29+1,0)</f>
        <v>0</v>
      </c>
      <c r="I23" s="4"/>
      <c r="J23" s="7" t="s">
        <v>16</v>
      </c>
      <c r="K23" s="6">
        <f>IF(WEEKDAY(DATE($F$2+1,4,1))=2,1,0)</f>
        <v>0</v>
      </c>
      <c r="L23" s="6">
        <f>IF(AND(K29&gt;0,K29&lt;30),K29+1,0)</f>
        <v>2</v>
      </c>
      <c r="M23" s="6">
        <f>IF(AND(L29&gt;0,L29&lt;30),L29+1,0)</f>
        <v>9</v>
      </c>
      <c r="N23" s="6">
        <f>IF(AND(M29&gt;0,M29&lt;30),M29+1,0)</f>
        <v>16</v>
      </c>
      <c r="O23" s="6">
        <f>IF(AND(N29&gt;0,N29&lt;30),N29+1,0)</f>
        <v>23</v>
      </c>
      <c r="P23" s="6">
        <f>IF(AND(O29&gt;0,O29&lt;30),O29+1,0)</f>
        <v>30</v>
      </c>
      <c r="Q23" s="4"/>
      <c r="R23" s="6" t="s">
        <v>16</v>
      </c>
      <c r="S23" s="6">
        <f>IF(WEEKDAY(DATE($F$2+1,5,1))=2,1,0)</f>
        <v>0</v>
      </c>
      <c r="T23" s="6">
        <f>IF(AND(S29&gt;0,S29&lt;31),S29+1,0)</f>
        <v>7</v>
      </c>
      <c r="U23" s="6">
        <f>IF(AND(T29&gt;0,T29&lt;31),T29+1,0)</f>
        <v>14</v>
      </c>
      <c r="V23" s="6">
        <f>IF(AND(U29&gt;0,U29&lt;31),U29+1,0)</f>
        <v>21</v>
      </c>
      <c r="W23" s="6">
        <f>IF(AND(V29&gt;0,V29&lt;31),V29+1,0)</f>
        <v>28</v>
      </c>
      <c r="X23" s="6">
        <f>IF(AND(W29&gt;0,W29&lt;31),W29+1,0)</f>
        <v>0</v>
      </c>
      <c r="Y23" s="4"/>
    </row>
    <row r="24" spans="2:25" ht="12.75" customHeight="1">
      <c r="B24" s="6" t="s">
        <v>17</v>
      </c>
      <c r="C24" s="6">
        <f>IF(WEEKDAY(DATE($F$2+1,3,1))=3,1,IF(C23&gt;0,C23+1,0))</f>
        <v>0</v>
      </c>
      <c r="D24" s="6">
        <f aca="true" t="shared" si="5" ref="D24:H29">IF(AND(D23&gt;0,D23&lt;31),D23+1,0)</f>
        <v>6</v>
      </c>
      <c r="E24" s="6">
        <f t="shared" si="5"/>
        <v>13</v>
      </c>
      <c r="F24" s="6">
        <f t="shared" si="5"/>
        <v>20</v>
      </c>
      <c r="G24" s="6">
        <f t="shared" si="5"/>
        <v>27</v>
      </c>
      <c r="H24" s="6">
        <f t="shared" si="5"/>
        <v>0</v>
      </c>
      <c r="I24" s="4"/>
      <c r="J24" s="7" t="s">
        <v>17</v>
      </c>
      <c r="K24" s="6">
        <f>IF(WEEKDAY(DATE($F$2+1,4,1))=3,1,IF(K23&gt;0,K23+1,0))</f>
        <v>0</v>
      </c>
      <c r="L24" s="6">
        <f aca="true" t="shared" si="6" ref="L24:P29">IF(AND(L23&gt;0,L23&lt;30),L23+1,0)</f>
        <v>3</v>
      </c>
      <c r="M24" s="6">
        <f t="shared" si="6"/>
        <v>10</v>
      </c>
      <c r="N24" s="6">
        <f t="shared" si="6"/>
        <v>17</v>
      </c>
      <c r="O24" s="6">
        <f t="shared" si="6"/>
        <v>24</v>
      </c>
      <c r="P24" s="6">
        <f t="shared" si="6"/>
        <v>0</v>
      </c>
      <c r="Q24" s="4"/>
      <c r="R24" s="6" t="s">
        <v>17</v>
      </c>
      <c r="S24" s="6">
        <f>IF(WEEKDAY(DATE($F$2+1,5,1))=3,1,IF(S23&gt;0,S23+1,0))</f>
        <v>1</v>
      </c>
      <c r="T24" s="6">
        <f aca="true" t="shared" si="7" ref="T24:X29">IF(AND(T23&gt;0,T23&lt;31),T23+1,0)</f>
        <v>8</v>
      </c>
      <c r="U24" s="6">
        <f t="shared" si="7"/>
        <v>15</v>
      </c>
      <c r="V24" s="6">
        <f t="shared" si="7"/>
        <v>22</v>
      </c>
      <c r="W24" s="6">
        <f t="shared" si="7"/>
        <v>29</v>
      </c>
      <c r="X24" s="6">
        <f t="shared" si="7"/>
        <v>0</v>
      </c>
      <c r="Y24" s="4"/>
    </row>
    <row r="25" spans="2:25" ht="12.75" customHeight="1">
      <c r="B25" s="6" t="s">
        <v>18</v>
      </c>
      <c r="C25" s="6">
        <f>IF(WEEKDAY(DATE($F$2+1,3,1))=4,1,IF(C24&gt;0,C24+1,0))</f>
        <v>0</v>
      </c>
      <c r="D25" s="6">
        <f t="shared" si="5"/>
        <v>7</v>
      </c>
      <c r="E25" s="6">
        <f t="shared" si="5"/>
        <v>14</v>
      </c>
      <c r="F25" s="6">
        <f t="shared" si="5"/>
        <v>21</v>
      </c>
      <c r="G25" s="6">
        <f t="shared" si="5"/>
        <v>28</v>
      </c>
      <c r="H25" s="6">
        <f t="shared" si="5"/>
        <v>0</v>
      </c>
      <c r="I25" s="4"/>
      <c r="J25" s="7" t="s">
        <v>18</v>
      </c>
      <c r="K25" s="6">
        <f>IF(WEEKDAY(DATE($F$2+1,4,1))=4,1,IF(K24&gt;0,K24+1,0))</f>
        <v>0</v>
      </c>
      <c r="L25" s="6">
        <f t="shared" si="6"/>
        <v>4</v>
      </c>
      <c r="M25" s="6">
        <f t="shared" si="6"/>
        <v>11</v>
      </c>
      <c r="N25" s="6">
        <f t="shared" si="6"/>
        <v>18</v>
      </c>
      <c r="O25" s="6">
        <f t="shared" si="6"/>
        <v>25</v>
      </c>
      <c r="P25" s="6">
        <f t="shared" si="6"/>
        <v>0</v>
      </c>
      <c r="Q25" s="4"/>
      <c r="R25" s="6" t="s">
        <v>18</v>
      </c>
      <c r="S25" s="6">
        <f>IF(WEEKDAY(DATE($F$2+1,5,1))=4,1,IF(S24&gt;0,S24+1,0))</f>
        <v>2</v>
      </c>
      <c r="T25" s="6">
        <f t="shared" si="7"/>
        <v>9</v>
      </c>
      <c r="U25" s="6">
        <f t="shared" si="7"/>
        <v>16</v>
      </c>
      <c r="V25" s="6">
        <f t="shared" si="7"/>
        <v>23</v>
      </c>
      <c r="W25" s="6">
        <f t="shared" si="7"/>
        <v>30</v>
      </c>
      <c r="X25" s="6">
        <f t="shared" si="7"/>
        <v>0</v>
      </c>
      <c r="Y25" s="4"/>
    </row>
    <row r="26" spans="2:25" ht="12.75" customHeight="1">
      <c r="B26" s="6" t="s">
        <v>19</v>
      </c>
      <c r="C26" s="6">
        <f>IF(WEEKDAY(DATE($F$2+1,3,1))=5,1,IF(C25&gt;0,C25+1,0))</f>
        <v>1</v>
      </c>
      <c r="D26" s="6">
        <f t="shared" si="5"/>
        <v>8</v>
      </c>
      <c r="E26" s="6">
        <f t="shared" si="5"/>
        <v>15</v>
      </c>
      <c r="F26" s="6">
        <f t="shared" si="5"/>
        <v>22</v>
      </c>
      <c r="G26" s="6">
        <f t="shared" si="5"/>
        <v>29</v>
      </c>
      <c r="H26" s="6">
        <f t="shared" si="5"/>
        <v>0</v>
      </c>
      <c r="I26" s="4"/>
      <c r="J26" s="7" t="s">
        <v>19</v>
      </c>
      <c r="K26" s="6">
        <f>IF(WEEKDAY(DATE($F$2+1,4,1))=5,1,IF(K25&gt;0,K25+1,0))</f>
        <v>0</v>
      </c>
      <c r="L26" s="6">
        <f t="shared" si="6"/>
        <v>5</v>
      </c>
      <c r="M26" s="6">
        <f t="shared" si="6"/>
        <v>12</v>
      </c>
      <c r="N26" s="6">
        <f t="shared" si="6"/>
        <v>19</v>
      </c>
      <c r="O26" s="6">
        <f t="shared" si="6"/>
        <v>26</v>
      </c>
      <c r="P26" s="6">
        <f t="shared" si="6"/>
        <v>0</v>
      </c>
      <c r="Q26" s="4"/>
      <c r="R26" s="6" t="s">
        <v>19</v>
      </c>
      <c r="S26" s="6">
        <f>IF(WEEKDAY(DATE($F$2+1,5,1))=5,1,IF(S25&gt;0,S25+1,0))</f>
        <v>3</v>
      </c>
      <c r="T26" s="6">
        <f t="shared" si="7"/>
        <v>10</v>
      </c>
      <c r="U26" s="6">
        <f t="shared" si="7"/>
        <v>17</v>
      </c>
      <c r="V26" s="6">
        <f t="shared" si="7"/>
        <v>24</v>
      </c>
      <c r="W26" s="6">
        <f t="shared" si="7"/>
        <v>31</v>
      </c>
      <c r="X26" s="6">
        <f t="shared" si="7"/>
        <v>0</v>
      </c>
      <c r="Y26" s="4"/>
    </row>
    <row r="27" spans="2:25" ht="12.75" customHeight="1">
      <c r="B27" s="6" t="s">
        <v>20</v>
      </c>
      <c r="C27" s="6">
        <f>IF(WEEKDAY(DATE($F$2+1,3,1))=6,1,IF(C26&gt;0,C26+1,0))</f>
        <v>2</v>
      </c>
      <c r="D27" s="6">
        <f t="shared" si="5"/>
        <v>9</v>
      </c>
      <c r="E27" s="6">
        <f t="shared" si="5"/>
        <v>16</v>
      </c>
      <c r="F27" s="6">
        <f t="shared" si="5"/>
        <v>23</v>
      </c>
      <c r="G27" s="6">
        <f t="shared" si="5"/>
        <v>30</v>
      </c>
      <c r="H27" s="6">
        <f t="shared" si="5"/>
        <v>0</v>
      </c>
      <c r="I27" s="4"/>
      <c r="J27" s="7" t="s">
        <v>20</v>
      </c>
      <c r="K27" s="6">
        <f>IF(WEEKDAY(DATE($F$2+1,4,1))=6,1,IF(K26&gt;0,K26+1,0))</f>
        <v>0</v>
      </c>
      <c r="L27" s="6">
        <f t="shared" si="6"/>
        <v>6</v>
      </c>
      <c r="M27" s="6">
        <f t="shared" si="6"/>
        <v>13</v>
      </c>
      <c r="N27" s="6">
        <f t="shared" si="6"/>
        <v>20</v>
      </c>
      <c r="O27" s="6">
        <f t="shared" si="6"/>
        <v>27</v>
      </c>
      <c r="P27" s="6">
        <f t="shared" si="6"/>
        <v>0</v>
      </c>
      <c r="Q27" s="4"/>
      <c r="R27" s="6" t="s">
        <v>20</v>
      </c>
      <c r="S27" s="6">
        <f>IF(WEEKDAY(DATE($F$2+1,5,1))=6,1,IF(S26&gt;0,S26+1,0))</f>
        <v>4</v>
      </c>
      <c r="T27" s="6">
        <f t="shared" si="7"/>
        <v>11</v>
      </c>
      <c r="U27" s="6">
        <f t="shared" si="7"/>
        <v>18</v>
      </c>
      <c r="V27" s="6">
        <f t="shared" si="7"/>
        <v>25</v>
      </c>
      <c r="W27" s="6">
        <f t="shared" si="7"/>
        <v>0</v>
      </c>
      <c r="X27" s="6">
        <f t="shared" si="7"/>
        <v>0</v>
      </c>
      <c r="Y27" s="4"/>
    </row>
    <row r="28" spans="2:25" ht="12.75" customHeight="1">
      <c r="B28" s="8" t="s">
        <v>21</v>
      </c>
      <c r="C28" s="8">
        <f>IF(WEEKDAY(DATE($F$2+1,3,1))=7,1,IF(C27&gt;0,C27+1,0))</f>
        <v>3</v>
      </c>
      <c r="D28" s="8">
        <f t="shared" si="5"/>
        <v>10</v>
      </c>
      <c r="E28" s="8">
        <f t="shared" si="5"/>
        <v>17</v>
      </c>
      <c r="F28" s="8">
        <f t="shared" si="5"/>
        <v>24</v>
      </c>
      <c r="G28" s="8">
        <f t="shared" si="5"/>
        <v>31</v>
      </c>
      <c r="H28" s="8">
        <f t="shared" si="5"/>
        <v>0</v>
      </c>
      <c r="I28" s="4"/>
      <c r="J28" s="9" t="s">
        <v>21</v>
      </c>
      <c r="K28" s="8">
        <f>IF(WEEKDAY(DATE($F$2+1,4,1))=7,1,IF(K27&gt;0,K27+1,0))</f>
        <v>0</v>
      </c>
      <c r="L28" s="8">
        <f t="shared" si="6"/>
        <v>7</v>
      </c>
      <c r="M28" s="8">
        <f t="shared" si="6"/>
        <v>14</v>
      </c>
      <c r="N28" s="8">
        <f t="shared" si="6"/>
        <v>21</v>
      </c>
      <c r="O28" s="8">
        <f t="shared" si="6"/>
        <v>28</v>
      </c>
      <c r="P28" s="8">
        <f t="shared" si="6"/>
        <v>0</v>
      </c>
      <c r="Q28" s="4"/>
      <c r="R28" s="8" t="s">
        <v>21</v>
      </c>
      <c r="S28" s="8">
        <f>IF(WEEKDAY(DATE($F$2+1,5,1))=7,1,IF(S27&gt;0,S27+1,0))</f>
        <v>5</v>
      </c>
      <c r="T28" s="8">
        <f t="shared" si="7"/>
        <v>12</v>
      </c>
      <c r="U28" s="8">
        <f t="shared" si="7"/>
        <v>19</v>
      </c>
      <c r="V28" s="8">
        <f t="shared" si="7"/>
        <v>26</v>
      </c>
      <c r="W28" s="8">
        <f t="shared" si="7"/>
        <v>0</v>
      </c>
      <c r="X28" s="8">
        <f t="shared" si="7"/>
        <v>0</v>
      </c>
      <c r="Y28" s="4"/>
    </row>
    <row r="29" spans="2:25" ht="12.75" customHeight="1">
      <c r="B29" s="8" t="s">
        <v>22</v>
      </c>
      <c r="C29" s="8">
        <f>IF(WEEKDAY(DATE($F$2+1,3,1))=1,1,IF(C28&gt;0,C28+1,0))</f>
        <v>4</v>
      </c>
      <c r="D29" s="8">
        <f t="shared" si="5"/>
        <v>11</v>
      </c>
      <c r="E29" s="8">
        <f t="shared" si="5"/>
        <v>18</v>
      </c>
      <c r="F29" s="8">
        <f t="shared" si="5"/>
        <v>25</v>
      </c>
      <c r="G29" s="8">
        <f t="shared" si="5"/>
        <v>0</v>
      </c>
      <c r="H29" s="8">
        <f t="shared" si="5"/>
        <v>0</v>
      </c>
      <c r="I29" s="4"/>
      <c r="J29" s="9" t="s">
        <v>22</v>
      </c>
      <c r="K29" s="8">
        <f>IF(WEEKDAY(DATE($F$2+1,4,1))=1,1,IF(K28&gt;0,K28+1,0))</f>
        <v>1</v>
      </c>
      <c r="L29" s="8">
        <f t="shared" si="6"/>
        <v>8</v>
      </c>
      <c r="M29" s="8">
        <f t="shared" si="6"/>
        <v>15</v>
      </c>
      <c r="N29" s="8">
        <f t="shared" si="6"/>
        <v>22</v>
      </c>
      <c r="O29" s="8">
        <f t="shared" si="6"/>
        <v>29</v>
      </c>
      <c r="P29" s="8">
        <f t="shared" si="6"/>
        <v>0</v>
      </c>
      <c r="Q29" s="4"/>
      <c r="R29" s="8" t="s">
        <v>22</v>
      </c>
      <c r="S29" s="8">
        <f>IF(WEEKDAY(DATE($F$2+1,5,1))=1,1,IF(S28&gt;0,S28+1,0))</f>
        <v>6</v>
      </c>
      <c r="T29" s="8">
        <f t="shared" si="7"/>
        <v>13</v>
      </c>
      <c r="U29" s="8">
        <f t="shared" si="7"/>
        <v>20</v>
      </c>
      <c r="V29" s="8">
        <f t="shared" si="7"/>
        <v>27</v>
      </c>
      <c r="W29" s="8">
        <f t="shared" si="7"/>
        <v>0</v>
      </c>
      <c r="X29" s="8">
        <f t="shared" si="7"/>
        <v>0</v>
      </c>
      <c r="Y29" s="4"/>
    </row>
    <row r="30" spans="2:25" ht="12.7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2:25" ht="12.75" customHeight="1">
      <c r="B31" s="33" t="str">
        <f>"HAZİRAN "&amp;$F$2+1</f>
        <v>HAZİRAN 2007</v>
      </c>
      <c r="C31" s="34"/>
      <c r="D31" s="34"/>
      <c r="E31" s="34"/>
      <c r="F31" s="34"/>
      <c r="G31" s="34"/>
      <c r="H31" s="35"/>
      <c r="I31" s="4"/>
      <c r="J31" s="33" t="str">
        <f>"TEMMUZ "&amp;$F$2+1</f>
        <v>TEMMUZ 2007</v>
      </c>
      <c r="K31" s="34"/>
      <c r="L31" s="34"/>
      <c r="M31" s="34"/>
      <c r="N31" s="34"/>
      <c r="O31" s="34"/>
      <c r="P31" s="35"/>
      <c r="Q31" s="4"/>
      <c r="R31" s="33" t="str">
        <f>"AĞUSTOS "&amp;$F$2+1</f>
        <v>AĞUSTOS 2007</v>
      </c>
      <c r="S31" s="34"/>
      <c r="T31" s="34"/>
      <c r="U31" s="34"/>
      <c r="V31" s="34"/>
      <c r="W31" s="34"/>
      <c r="X31" s="35"/>
      <c r="Y31" s="4"/>
    </row>
    <row r="32" spans="2:25" ht="12.75" customHeight="1">
      <c r="B32" s="6" t="s">
        <v>16</v>
      </c>
      <c r="C32" s="6">
        <f>IF(WEEKDAY(DATE($F$2+1,6,1))=2,1,0)</f>
        <v>0</v>
      </c>
      <c r="D32" s="6">
        <f>IF(AND(C38&gt;0,C38&lt;30),C38+1,0)</f>
        <v>4</v>
      </c>
      <c r="E32" s="6">
        <f>IF(AND(D38&gt;0,D38&lt;30),D38+1,0)</f>
        <v>11</v>
      </c>
      <c r="F32" s="6">
        <f>IF(AND(E38&gt;0,E38&lt;30),E38+1,0)</f>
        <v>18</v>
      </c>
      <c r="G32" s="6">
        <f>IF(AND(F38&gt;0,F38&lt;30),F38+1,0)</f>
        <v>25</v>
      </c>
      <c r="H32" s="6">
        <f>IF(AND(G38&gt;0,G38&lt;30),G38+1,0)</f>
        <v>0</v>
      </c>
      <c r="I32" s="4"/>
      <c r="J32" s="7" t="s">
        <v>16</v>
      </c>
      <c r="K32" s="8">
        <f>IF(WEEKDAY(DATE($F$2+1,7,1))=2,1,0)</f>
        <v>0</v>
      </c>
      <c r="L32" s="8">
        <f>IF(AND(K38&gt;0,K38&lt;31),K38+1,0)</f>
        <v>2</v>
      </c>
      <c r="M32" s="8">
        <f>IF(AND(L38&gt;0,L38&lt;31),L38+1,0)</f>
        <v>9</v>
      </c>
      <c r="N32" s="8">
        <f>IF(AND(M38&gt;0,M38&lt;31),M38+1,0)</f>
        <v>16</v>
      </c>
      <c r="O32" s="8">
        <f>IF(AND(N38&gt;0,N38&lt;31),N38+1,0)</f>
        <v>23</v>
      </c>
      <c r="P32" s="8">
        <f>IF(AND(O38&gt;0,O38&lt;31),O38+1,0)</f>
        <v>30</v>
      </c>
      <c r="Q32" s="4"/>
      <c r="R32" s="6" t="s">
        <v>16</v>
      </c>
      <c r="S32" s="8">
        <f>IF(WEEKDAY(DATE($F$2+1,8,1))=2,1,0)</f>
        <v>0</v>
      </c>
      <c r="T32" s="8">
        <f>IF(AND(S38&gt;0,S38&lt;31),S38+1,0)</f>
        <v>6</v>
      </c>
      <c r="U32" s="8">
        <f>IF(AND(T38&gt;0,T38&lt;31),T38+1,0)</f>
        <v>13</v>
      </c>
      <c r="V32" s="8">
        <f>IF(AND(U38&gt;0,U38&lt;31),U38+1,0)</f>
        <v>20</v>
      </c>
      <c r="W32" s="8">
        <f>IF(AND(V38&gt;0,V38&lt;31),V38+1,0)</f>
        <v>27</v>
      </c>
      <c r="X32" s="8">
        <f>IF(AND(W38&gt;0,W38&lt;31),W38+1,0)</f>
        <v>0</v>
      </c>
      <c r="Y32" s="4"/>
    </row>
    <row r="33" spans="2:25" ht="12.75" customHeight="1">
      <c r="B33" s="6" t="s">
        <v>17</v>
      </c>
      <c r="C33" s="6">
        <f>IF(WEEKDAY(DATE($F$2+1,6,1))=3,1,IF(C32&gt;0,C32+1,0))</f>
        <v>0</v>
      </c>
      <c r="D33" s="6">
        <f aca="true" t="shared" si="8" ref="D33:H38">IF(AND(D32&gt;0,D32&lt;30),D32+1,0)</f>
        <v>5</v>
      </c>
      <c r="E33" s="6">
        <f t="shared" si="8"/>
        <v>12</v>
      </c>
      <c r="F33" s="6">
        <f t="shared" si="8"/>
        <v>19</v>
      </c>
      <c r="G33" s="6">
        <f t="shared" si="8"/>
        <v>26</v>
      </c>
      <c r="H33" s="6">
        <f t="shared" si="8"/>
        <v>0</v>
      </c>
      <c r="I33" s="4"/>
      <c r="J33" s="7" t="s">
        <v>17</v>
      </c>
      <c r="K33" s="8">
        <f>IF(WEEKDAY(DATE($F$2+1,7,1))=3,1,IF(K32&gt;0,K32+1,0))</f>
        <v>0</v>
      </c>
      <c r="L33" s="8">
        <f aca="true" t="shared" si="9" ref="L33:P38">IF(AND(L32&gt;0,L32&lt;31),L32+1,0)</f>
        <v>3</v>
      </c>
      <c r="M33" s="8">
        <f t="shared" si="9"/>
        <v>10</v>
      </c>
      <c r="N33" s="8">
        <f t="shared" si="9"/>
        <v>17</v>
      </c>
      <c r="O33" s="8">
        <f t="shared" si="9"/>
        <v>24</v>
      </c>
      <c r="P33" s="8">
        <f t="shared" si="9"/>
        <v>31</v>
      </c>
      <c r="Q33" s="4"/>
      <c r="R33" s="6" t="s">
        <v>17</v>
      </c>
      <c r="S33" s="8">
        <f>IF(WEEKDAY(DATE($F$2+1,8,1))=3,1,IF(S32&gt;0,S32+1,0))</f>
        <v>0</v>
      </c>
      <c r="T33" s="8">
        <f aca="true" t="shared" si="10" ref="T33:X38">IF(AND(T32&gt;0,T32&lt;31),T32+1,0)</f>
        <v>7</v>
      </c>
      <c r="U33" s="8">
        <f t="shared" si="10"/>
        <v>14</v>
      </c>
      <c r="V33" s="8">
        <f t="shared" si="10"/>
        <v>21</v>
      </c>
      <c r="W33" s="8">
        <f t="shared" si="10"/>
        <v>28</v>
      </c>
      <c r="X33" s="8">
        <f t="shared" si="10"/>
        <v>0</v>
      </c>
      <c r="Y33" s="4"/>
    </row>
    <row r="34" spans="2:25" ht="12.75" customHeight="1">
      <c r="B34" s="6" t="s">
        <v>18</v>
      </c>
      <c r="C34" s="6">
        <f>IF(WEEKDAY(DATE($F$2+1,6,1))=4,1,IF(C33&gt;0,C33+1,0))</f>
        <v>0</v>
      </c>
      <c r="D34" s="6">
        <f t="shared" si="8"/>
        <v>6</v>
      </c>
      <c r="E34" s="6">
        <f t="shared" si="8"/>
        <v>13</v>
      </c>
      <c r="F34" s="6">
        <f t="shared" si="8"/>
        <v>20</v>
      </c>
      <c r="G34" s="6">
        <f t="shared" si="8"/>
        <v>27</v>
      </c>
      <c r="H34" s="6">
        <f t="shared" si="8"/>
        <v>0</v>
      </c>
      <c r="I34" s="4"/>
      <c r="J34" s="7" t="s">
        <v>18</v>
      </c>
      <c r="K34" s="8">
        <f>IF(WEEKDAY(DATE($F$2+1,7,1))=4,1,IF(K33&gt;0,K33+1,0))</f>
        <v>0</v>
      </c>
      <c r="L34" s="8">
        <f t="shared" si="9"/>
        <v>4</v>
      </c>
      <c r="M34" s="8">
        <f t="shared" si="9"/>
        <v>11</v>
      </c>
      <c r="N34" s="8">
        <f t="shared" si="9"/>
        <v>18</v>
      </c>
      <c r="O34" s="8">
        <f t="shared" si="9"/>
        <v>25</v>
      </c>
      <c r="P34" s="8">
        <f t="shared" si="9"/>
        <v>0</v>
      </c>
      <c r="Q34" s="4"/>
      <c r="R34" s="6" t="s">
        <v>18</v>
      </c>
      <c r="S34" s="8">
        <f>IF(WEEKDAY(DATE($F$2+1,8,1))=4,1,IF(S33&gt;0,S33+1,0))</f>
        <v>1</v>
      </c>
      <c r="T34" s="8">
        <f t="shared" si="10"/>
        <v>8</v>
      </c>
      <c r="U34" s="8">
        <f t="shared" si="10"/>
        <v>15</v>
      </c>
      <c r="V34" s="8">
        <f t="shared" si="10"/>
        <v>22</v>
      </c>
      <c r="W34" s="8">
        <f t="shared" si="10"/>
        <v>29</v>
      </c>
      <c r="X34" s="8">
        <f t="shared" si="10"/>
        <v>0</v>
      </c>
      <c r="Y34" s="4"/>
    </row>
    <row r="35" spans="2:25" ht="12.75" customHeight="1">
      <c r="B35" s="6" t="s">
        <v>19</v>
      </c>
      <c r="C35" s="6">
        <f>IF(WEEKDAY(DATE($F$2+1,6,1))=5,1,IF(C34&gt;0,C34+1,0))</f>
        <v>0</v>
      </c>
      <c r="D35" s="6">
        <f t="shared" si="8"/>
        <v>7</v>
      </c>
      <c r="E35" s="6">
        <f t="shared" si="8"/>
        <v>14</v>
      </c>
      <c r="F35" s="6">
        <f t="shared" si="8"/>
        <v>21</v>
      </c>
      <c r="G35" s="6">
        <f t="shared" si="8"/>
        <v>28</v>
      </c>
      <c r="H35" s="6">
        <f t="shared" si="8"/>
        <v>0</v>
      </c>
      <c r="I35" s="4"/>
      <c r="J35" s="7" t="s">
        <v>19</v>
      </c>
      <c r="K35" s="8">
        <f>IF(WEEKDAY(DATE($F$2+1,7,1))=5,1,IF(K34&gt;0,K34+1,0))</f>
        <v>0</v>
      </c>
      <c r="L35" s="8">
        <f t="shared" si="9"/>
        <v>5</v>
      </c>
      <c r="M35" s="8">
        <f t="shared" si="9"/>
        <v>12</v>
      </c>
      <c r="N35" s="8">
        <f t="shared" si="9"/>
        <v>19</v>
      </c>
      <c r="O35" s="8">
        <f t="shared" si="9"/>
        <v>26</v>
      </c>
      <c r="P35" s="8">
        <f t="shared" si="9"/>
        <v>0</v>
      </c>
      <c r="Q35" s="4"/>
      <c r="R35" s="6" t="s">
        <v>19</v>
      </c>
      <c r="S35" s="8">
        <f>IF(WEEKDAY(DATE($F$2+1,8,1))=5,1,IF(S34&gt;0,S34+1,0))</f>
        <v>2</v>
      </c>
      <c r="T35" s="8">
        <f t="shared" si="10"/>
        <v>9</v>
      </c>
      <c r="U35" s="8">
        <f t="shared" si="10"/>
        <v>16</v>
      </c>
      <c r="V35" s="8">
        <f t="shared" si="10"/>
        <v>23</v>
      </c>
      <c r="W35" s="8">
        <f t="shared" si="10"/>
        <v>30</v>
      </c>
      <c r="X35" s="8">
        <f t="shared" si="10"/>
        <v>0</v>
      </c>
      <c r="Y35" s="4"/>
    </row>
    <row r="36" spans="2:25" ht="12.75" customHeight="1">
      <c r="B36" s="6" t="s">
        <v>20</v>
      </c>
      <c r="C36" s="6">
        <f>IF(WEEKDAY(DATE($F$2+1,6,1))=6,1,IF(C35&gt;0,C35+1,0))</f>
        <v>1</v>
      </c>
      <c r="D36" s="6">
        <f t="shared" si="8"/>
        <v>8</v>
      </c>
      <c r="E36" s="6">
        <f t="shared" si="8"/>
        <v>15</v>
      </c>
      <c r="F36" s="6">
        <f t="shared" si="8"/>
        <v>22</v>
      </c>
      <c r="G36" s="6">
        <f t="shared" si="8"/>
        <v>29</v>
      </c>
      <c r="H36" s="6">
        <f t="shared" si="8"/>
        <v>0</v>
      </c>
      <c r="I36" s="4"/>
      <c r="J36" s="7" t="s">
        <v>20</v>
      </c>
      <c r="K36" s="8">
        <f>IF(WEEKDAY(DATE($F$2+1,7,1))=6,1,IF(K35&gt;0,K35+1,0))</f>
        <v>0</v>
      </c>
      <c r="L36" s="8">
        <f t="shared" si="9"/>
        <v>6</v>
      </c>
      <c r="M36" s="8">
        <f t="shared" si="9"/>
        <v>13</v>
      </c>
      <c r="N36" s="8">
        <f t="shared" si="9"/>
        <v>20</v>
      </c>
      <c r="O36" s="8">
        <f t="shared" si="9"/>
        <v>27</v>
      </c>
      <c r="P36" s="8">
        <f t="shared" si="9"/>
        <v>0</v>
      </c>
      <c r="Q36" s="4"/>
      <c r="R36" s="6" t="s">
        <v>20</v>
      </c>
      <c r="S36" s="8">
        <f>IF(WEEKDAY(DATE($F$2+1,8,1))=6,1,IF(S35&gt;0,S35+1,0))</f>
        <v>3</v>
      </c>
      <c r="T36" s="8">
        <f t="shared" si="10"/>
        <v>10</v>
      </c>
      <c r="U36" s="8">
        <f t="shared" si="10"/>
        <v>17</v>
      </c>
      <c r="V36" s="8">
        <f t="shared" si="10"/>
        <v>24</v>
      </c>
      <c r="W36" s="8">
        <f t="shared" si="10"/>
        <v>31</v>
      </c>
      <c r="X36" s="8">
        <f t="shared" si="10"/>
        <v>0</v>
      </c>
      <c r="Y36" s="4"/>
    </row>
    <row r="37" spans="2:25" ht="12.75" customHeight="1">
      <c r="B37" s="8" t="s">
        <v>21</v>
      </c>
      <c r="C37" s="8">
        <f>IF(WEEKDAY(DATE($F$2+1,6,1))=7,1,IF(C36&gt;0,C36+1,0))</f>
        <v>2</v>
      </c>
      <c r="D37" s="8">
        <f t="shared" si="8"/>
        <v>9</v>
      </c>
      <c r="E37" s="8">
        <f t="shared" si="8"/>
        <v>16</v>
      </c>
      <c r="F37" s="8">
        <f t="shared" si="8"/>
        <v>23</v>
      </c>
      <c r="G37" s="8">
        <f t="shared" si="8"/>
        <v>30</v>
      </c>
      <c r="H37" s="8">
        <f t="shared" si="8"/>
        <v>0</v>
      </c>
      <c r="I37" s="4"/>
      <c r="J37" s="9" t="s">
        <v>21</v>
      </c>
      <c r="K37" s="8">
        <f>IF(WEEKDAY(DATE($F$2+1,7,1))=7,1,IF(K36&gt;0,K36+1,0))</f>
        <v>0</v>
      </c>
      <c r="L37" s="8">
        <f t="shared" si="9"/>
        <v>7</v>
      </c>
      <c r="M37" s="8">
        <f t="shared" si="9"/>
        <v>14</v>
      </c>
      <c r="N37" s="8">
        <f t="shared" si="9"/>
        <v>21</v>
      </c>
      <c r="O37" s="8">
        <f t="shared" si="9"/>
        <v>28</v>
      </c>
      <c r="P37" s="8">
        <f t="shared" si="9"/>
        <v>0</v>
      </c>
      <c r="Q37" s="4"/>
      <c r="R37" s="8" t="s">
        <v>21</v>
      </c>
      <c r="S37" s="8">
        <f>IF(WEEKDAY(DATE($F$2+1,8,1))=7,1,IF(S36&gt;0,S36+1,0))</f>
        <v>4</v>
      </c>
      <c r="T37" s="8">
        <f t="shared" si="10"/>
        <v>11</v>
      </c>
      <c r="U37" s="8">
        <f t="shared" si="10"/>
        <v>18</v>
      </c>
      <c r="V37" s="8">
        <f t="shared" si="10"/>
        <v>25</v>
      </c>
      <c r="W37" s="8">
        <f t="shared" si="10"/>
        <v>0</v>
      </c>
      <c r="X37" s="8">
        <f t="shared" si="10"/>
        <v>0</v>
      </c>
      <c r="Y37" s="4"/>
    </row>
    <row r="38" spans="2:25" ht="12.75" customHeight="1">
      <c r="B38" s="8" t="s">
        <v>22</v>
      </c>
      <c r="C38" s="8">
        <f>IF(WEEKDAY(DATE($F$2+1,6,1))=1,1,IF(C37&gt;0,C37+1,0))</f>
        <v>3</v>
      </c>
      <c r="D38" s="8">
        <f t="shared" si="8"/>
        <v>10</v>
      </c>
      <c r="E38" s="8">
        <f t="shared" si="8"/>
        <v>17</v>
      </c>
      <c r="F38" s="8">
        <f t="shared" si="8"/>
        <v>24</v>
      </c>
      <c r="G38" s="8">
        <f t="shared" si="8"/>
        <v>0</v>
      </c>
      <c r="H38" s="8">
        <f t="shared" si="8"/>
        <v>0</v>
      </c>
      <c r="I38" s="4"/>
      <c r="J38" s="9" t="s">
        <v>22</v>
      </c>
      <c r="K38" s="8">
        <f>IF(WEEKDAY(DATE($F$2+1,7,1))=1,1,IF(K37&gt;0,K37+1,0))</f>
        <v>1</v>
      </c>
      <c r="L38" s="8">
        <f t="shared" si="9"/>
        <v>8</v>
      </c>
      <c r="M38" s="8">
        <f t="shared" si="9"/>
        <v>15</v>
      </c>
      <c r="N38" s="8">
        <f t="shared" si="9"/>
        <v>22</v>
      </c>
      <c r="O38" s="8">
        <f t="shared" si="9"/>
        <v>29</v>
      </c>
      <c r="P38" s="8">
        <f t="shared" si="9"/>
        <v>0</v>
      </c>
      <c r="Q38" s="4"/>
      <c r="R38" s="8" t="s">
        <v>22</v>
      </c>
      <c r="S38" s="8">
        <f>IF(WEEKDAY(DATE($F$2+1,8,1))=1,1,IF(S37&gt;0,S37+1,0))</f>
        <v>5</v>
      </c>
      <c r="T38" s="8">
        <f t="shared" si="10"/>
        <v>12</v>
      </c>
      <c r="U38" s="8">
        <f t="shared" si="10"/>
        <v>19</v>
      </c>
      <c r="V38" s="8">
        <f t="shared" si="10"/>
        <v>26</v>
      </c>
      <c r="W38" s="8">
        <f t="shared" si="10"/>
        <v>0</v>
      </c>
      <c r="X38" s="8">
        <f t="shared" si="10"/>
        <v>0</v>
      </c>
      <c r="Y38" s="4"/>
    </row>
  </sheetData>
  <sheetProtection sheet="1" objects="1" scenarios="1" selectLockedCells="1" selectUnlockedCells="1"/>
  <mergeCells count="15">
    <mergeCell ref="F2:H2"/>
    <mergeCell ref="K2:X2"/>
    <mergeCell ref="B4:H4"/>
    <mergeCell ref="J4:P4"/>
    <mergeCell ref="R4:X4"/>
    <mergeCell ref="B2:E2"/>
    <mergeCell ref="B31:H31"/>
    <mergeCell ref="J31:P31"/>
    <mergeCell ref="R31:X31"/>
    <mergeCell ref="B13:H13"/>
    <mergeCell ref="J13:P13"/>
    <mergeCell ref="R13:X13"/>
    <mergeCell ref="B22:H22"/>
    <mergeCell ref="J22:P22"/>
    <mergeCell ref="R22:X22"/>
  </mergeCells>
  <conditionalFormatting sqref="K14:P20">
    <cfRule type="cellIs" priority="1" dxfId="0" operator="equal" stopIfTrue="1">
      <formula>1</formula>
    </cfRule>
  </conditionalFormatting>
  <conditionalFormatting sqref="K23:P29">
    <cfRule type="cellIs" priority="2" dxfId="0" operator="equal" stopIfTrue="1">
      <formula>23</formula>
    </cfRule>
  </conditionalFormatting>
  <conditionalFormatting sqref="S23:X29">
    <cfRule type="cellIs" priority="3" dxfId="0" operator="equal" stopIfTrue="1">
      <formula>19</formula>
    </cfRule>
  </conditionalFormatting>
  <conditionalFormatting sqref="S32:X38">
    <cfRule type="cellIs" priority="4" dxfId="0" operator="equal" stopIfTrue="1">
      <formula>30</formula>
    </cfRule>
  </conditionalFormatting>
  <conditionalFormatting sqref="K5:P11">
    <cfRule type="cellIs" priority="5" dxfId="0" operator="equal" stopIfTrue="1">
      <formula>29</formula>
    </cfRule>
  </conditionalFormatting>
  <printOptions horizontalCentered="1"/>
  <pageMargins left="0.3937007874015748" right="0.1968503937007874" top="0.984251968503937" bottom="0.3937007874015748" header="0" footer="0"/>
  <pageSetup blackAndWhite="1"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Belirli Gün ve Haftalar</dc:title>
  <dc:subject>Belirli Gün ve Haftalar</dc:subject>
  <dc:creator>Yusuf GÜNEY</dc:creator>
  <cp:keywords>Belirli Gün ve Haftalar</cp:keywords>
  <dc:description>Bu program, seçilen Öğretim Yılına ait Belirli Gün ve Haftalar Listesini otomatik olarak hazırlar. Para ile satılmaz.</dc:description>
  <cp:lastModifiedBy>Yusuf GÜNEY</cp:lastModifiedBy>
  <cp:lastPrinted>2005-12-03T19:57:42Z</cp:lastPrinted>
  <dcterms:created xsi:type="dcterms:W3CDTF">1999-05-26T11:21:22Z</dcterms:created>
  <dcterms:modified xsi:type="dcterms:W3CDTF">2006-12-13T18:35:43Z</dcterms:modified>
  <cp:category>Program</cp:category>
  <cp:version/>
  <cp:contentType/>
  <cp:contentStatus/>
</cp:coreProperties>
</file>